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riyagoel/Downloads/"/>
    </mc:Choice>
  </mc:AlternateContent>
  <xr:revisionPtr revIDLastSave="0" documentId="8_{ACB75AF6-D0E4-F943-8B9D-845298892A20}" xr6:coauthVersionLast="47" xr6:coauthVersionMax="47" xr10:uidLastSave="{00000000-0000-0000-0000-000000000000}"/>
  <bookViews>
    <workbookView xWindow="0" yWindow="660" windowWidth="19260" windowHeight="16680" tabRatio="500" activeTab="4" xr2:uid="{00000000-000D-0000-FFFF-FFFF00000000}"/>
  </bookViews>
  <sheets>
    <sheet name="Cover" sheetId="1" r:id="rId1"/>
    <sheet name="Assumptions" sheetId="2" r:id="rId2"/>
    <sheet name="Revenue Build" sheetId="3" r:id="rId3"/>
    <sheet name="P&amp;L Monthly" sheetId="4" r:id="rId4"/>
    <sheet name="Startup &amp; Funding" sheetId="5" r:id="rId5"/>
    <sheet name="Annual Summary" sheetId="6" r:id="rId6"/>
    <sheet name="Sensitivity" sheetId="7" r:id="rId7"/>
    <sheet name="Sources" sheetId="8" r:id="rId8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3" i="6" l="1"/>
  <c r="C36" i="5"/>
  <c r="C31" i="5"/>
  <c r="C28" i="5"/>
  <c r="C27" i="5"/>
  <c r="C20" i="5"/>
  <c r="C7" i="5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C43" i="4"/>
  <c r="Z39" i="4"/>
  <c r="E13" i="6" s="1"/>
  <c r="Y39" i="4"/>
  <c r="X39" i="4"/>
  <c r="W39" i="4"/>
  <c r="V39" i="4"/>
  <c r="U39" i="4"/>
  <c r="T39" i="4"/>
  <c r="S39" i="4"/>
  <c r="R39" i="4"/>
  <c r="Q39" i="4"/>
  <c r="P39" i="4"/>
  <c r="D13" i="6" s="1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W23" i="4"/>
  <c r="P23" i="4"/>
  <c r="M23" i="4"/>
  <c r="Z18" i="4"/>
  <c r="E9" i="6" s="1"/>
  <c r="T18" i="4"/>
  <c r="S18" i="4"/>
  <c r="R18" i="4"/>
  <c r="H18" i="4"/>
  <c r="G18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J18" i="4" s="1"/>
  <c r="I17" i="4"/>
  <c r="H17" i="4"/>
  <c r="G17" i="4"/>
  <c r="F17" i="4"/>
  <c r="E17" i="4"/>
  <c r="D17" i="4"/>
  <c r="C17" i="4"/>
  <c r="Z16" i="4"/>
  <c r="X16" i="4"/>
  <c r="W16" i="4"/>
  <c r="V16" i="4"/>
  <c r="V18" i="4" s="1"/>
  <c r="S16" i="4"/>
  <c r="R16" i="4"/>
  <c r="P16" i="4"/>
  <c r="P18" i="4" s="1"/>
  <c r="O16" i="4"/>
  <c r="O18" i="4" s="1"/>
  <c r="M16" i="4"/>
  <c r="M18" i="4" s="1"/>
  <c r="J16" i="4"/>
  <c r="G16" i="4"/>
  <c r="E16" i="4"/>
  <c r="E18" i="4" s="1"/>
  <c r="D16" i="4"/>
  <c r="D18" i="4" s="1"/>
  <c r="Z15" i="4"/>
  <c r="Y15" i="4"/>
  <c r="Y16" i="4" s="1"/>
  <c r="Y18" i="4" s="1"/>
  <c r="X15" i="4"/>
  <c r="W15" i="4"/>
  <c r="V15" i="4"/>
  <c r="U15" i="4"/>
  <c r="U16" i="4" s="1"/>
  <c r="U18" i="4" s="1"/>
  <c r="T15" i="4"/>
  <c r="T16" i="4" s="1"/>
  <c r="S15" i="4"/>
  <c r="R15" i="4"/>
  <c r="Q15" i="4"/>
  <c r="Q16" i="4" s="1"/>
  <c r="Q18" i="4" s="1"/>
  <c r="P15" i="4"/>
  <c r="O15" i="4"/>
  <c r="N15" i="4"/>
  <c r="N16" i="4" s="1"/>
  <c r="N18" i="4" s="1"/>
  <c r="M15" i="4"/>
  <c r="L15" i="4"/>
  <c r="L16" i="4" s="1"/>
  <c r="L18" i="4" s="1"/>
  <c r="K15" i="4"/>
  <c r="K16" i="4" s="1"/>
  <c r="K18" i="4" s="1"/>
  <c r="J15" i="4"/>
  <c r="I15" i="4"/>
  <c r="I16" i="4" s="1"/>
  <c r="I18" i="4" s="1"/>
  <c r="H15" i="4"/>
  <c r="H16" i="4" s="1"/>
  <c r="G15" i="4"/>
  <c r="F15" i="4"/>
  <c r="F16" i="4" s="1"/>
  <c r="F18" i="4" s="1"/>
  <c r="E15" i="4"/>
  <c r="D15" i="4"/>
  <c r="C15" i="4"/>
  <c r="C16" i="4" s="1"/>
  <c r="C18" i="4" s="1"/>
  <c r="Z6" i="4"/>
  <c r="Z23" i="4" s="1"/>
  <c r="Y6" i="4"/>
  <c r="Y23" i="4" s="1"/>
  <c r="X6" i="4"/>
  <c r="W6" i="4"/>
  <c r="V6" i="4"/>
  <c r="U6" i="4"/>
  <c r="T6" i="4"/>
  <c r="T23" i="4" s="1"/>
  <c r="S6" i="4"/>
  <c r="S23" i="4" s="1"/>
  <c r="R6" i="4"/>
  <c r="R23" i="4" s="1"/>
  <c r="Q6" i="4"/>
  <c r="Q23" i="4" s="1"/>
  <c r="P6" i="4"/>
  <c r="O6" i="4"/>
  <c r="N6" i="4"/>
  <c r="M6" i="4"/>
  <c r="L6" i="4"/>
  <c r="L23" i="4" s="1"/>
  <c r="K6" i="4"/>
  <c r="K23" i="4" s="1"/>
  <c r="J6" i="4"/>
  <c r="J23" i="4" s="1"/>
  <c r="I6" i="4"/>
  <c r="I23" i="4" s="1"/>
  <c r="H6" i="4"/>
  <c r="G6" i="4"/>
  <c r="F6" i="4"/>
  <c r="E6" i="4"/>
  <c r="E23" i="4" s="1"/>
  <c r="D6" i="4"/>
  <c r="D23" i="4" s="1"/>
  <c r="C6" i="4"/>
  <c r="C23" i="4" s="1"/>
  <c r="U12" i="3"/>
  <c r="T12" i="3"/>
  <c r="S12" i="3"/>
  <c r="R12" i="3"/>
  <c r="Q12" i="3"/>
  <c r="I12" i="3"/>
  <c r="E12" i="3"/>
  <c r="D12" i="3"/>
  <c r="C12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S9" i="3"/>
  <c r="S11" i="3" s="1"/>
  <c r="S13" i="3" s="1"/>
  <c r="R9" i="3"/>
  <c r="R11" i="3" s="1"/>
  <c r="R13" i="3" s="1"/>
  <c r="Q9" i="3"/>
  <c r="Q11" i="3" s="1"/>
  <c r="Q13" i="3" s="1"/>
  <c r="M9" i="3"/>
  <c r="M11" i="3" s="1"/>
  <c r="L9" i="3"/>
  <c r="L11" i="3" s="1"/>
  <c r="C9" i="3"/>
  <c r="C11" i="3" s="1"/>
  <c r="C13" i="3" s="1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C47" i="2"/>
  <c r="C38" i="2"/>
  <c r="C29" i="2"/>
  <c r="F13" i="2"/>
  <c r="C37" i="2" s="1"/>
  <c r="F12" i="2"/>
  <c r="C22" i="2" s="1"/>
  <c r="N23" i="4" s="1"/>
  <c r="F11" i="2"/>
  <c r="F10" i="2"/>
  <c r="C7" i="2"/>
  <c r="C15" i="3" l="1"/>
  <c r="C16" i="3"/>
  <c r="C17" i="3"/>
  <c r="C7" i="4"/>
  <c r="Q15" i="3"/>
  <c r="Q16" i="3"/>
  <c r="Q17" i="3"/>
  <c r="Q7" i="4"/>
  <c r="S17" i="3"/>
  <c r="S7" i="4"/>
  <c r="S16" i="3"/>
  <c r="S15" i="3"/>
  <c r="R16" i="3"/>
  <c r="R17" i="3"/>
  <c r="R15" i="3"/>
  <c r="R7" i="4"/>
  <c r="C41" i="6"/>
  <c r="C9" i="6"/>
  <c r="D9" i="6"/>
  <c r="G20" i="7"/>
  <c r="D19" i="7"/>
  <c r="F17" i="7"/>
  <c r="C16" i="7"/>
  <c r="C39" i="6"/>
  <c r="C40" i="6" s="1"/>
  <c r="F20" i="7"/>
  <c r="C19" i="7"/>
  <c r="E17" i="7"/>
  <c r="E20" i="7"/>
  <c r="G18" i="7"/>
  <c r="D17" i="7"/>
  <c r="D20" i="7"/>
  <c r="F18" i="7"/>
  <c r="C17" i="7"/>
  <c r="C20" i="7"/>
  <c r="E18" i="7"/>
  <c r="G16" i="7"/>
  <c r="G19" i="7"/>
  <c r="D18" i="7"/>
  <c r="F16" i="7"/>
  <c r="F19" i="7"/>
  <c r="C18" i="7"/>
  <c r="E16" i="7"/>
  <c r="E19" i="7"/>
  <c r="G17" i="7"/>
  <c r="D16" i="7"/>
  <c r="X9" i="3"/>
  <c r="X11" i="3" s="1"/>
  <c r="X13" i="3" s="1"/>
  <c r="P9" i="3"/>
  <c r="P11" i="3" s="1"/>
  <c r="P13" i="3" s="1"/>
  <c r="H9" i="3"/>
  <c r="H11" i="3" s="1"/>
  <c r="H13" i="3" s="1"/>
  <c r="W9" i="3"/>
  <c r="W11" i="3" s="1"/>
  <c r="O9" i="3"/>
  <c r="O11" i="3" s="1"/>
  <c r="G9" i="3"/>
  <c r="G11" i="3" s="1"/>
  <c r="G13" i="3" s="1"/>
  <c r="C30" i="2"/>
  <c r="G19" i="1" s="1"/>
  <c r="V9" i="3"/>
  <c r="V11" i="3" s="1"/>
  <c r="V13" i="3" s="1"/>
  <c r="N9" i="3"/>
  <c r="N11" i="3" s="1"/>
  <c r="N13" i="3" s="1"/>
  <c r="F9" i="3"/>
  <c r="F11" i="3" s="1"/>
  <c r="F13" i="3" s="1"/>
  <c r="U9" i="3"/>
  <c r="U11" i="3" s="1"/>
  <c r="U13" i="3" s="1"/>
  <c r="J9" i="3"/>
  <c r="J11" i="3" s="1"/>
  <c r="T9" i="3"/>
  <c r="T11" i="3" s="1"/>
  <c r="T13" i="3" s="1"/>
  <c r="I9" i="3"/>
  <c r="I11" i="3" s="1"/>
  <c r="I13" i="3" s="1"/>
  <c r="D9" i="3"/>
  <c r="D11" i="3" s="1"/>
  <c r="D13" i="3" s="1"/>
  <c r="Y9" i="3"/>
  <c r="Y11" i="3" s="1"/>
  <c r="E10" i="7"/>
  <c r="G8" i="7"/>
  <c r="D7" i="7"/>
  <c r="G11" i="7"/>
  <c r="D10" i="7"/>
  <c r="F8" i="7"/>
  <c r="C7" i="7"/>
  <c r="F11" i="7"/>
  <c r="C10" i="7"/>
  <c r="E8" i="7"/>
  <c r="E11" i="7"/>
  <c r="G9" i="7"/>
  <c r="D8" i="7"/>
  <c r="D11" i="7"/>
  <c r="F9" i="7"/>
  <c r="C8" i="7"/>
  <c r="C11" i="7"/>
  <c r="E9" i="7"/>
  <c r="G7" i="7"/>
  <c r="C42" i="6"/>
  <c r="G10" i="7"/>
  <c r="D9" i="7"/>
  <c r="F7" i="7"/>
  <c r="F10" i="7"/>
  <c r="C9" i="7"/>
  <c r="E7" i="7"/>
  <c r="W18" i="4"/>
  <c r="X12" i="3"/>
  <c r="P12" i="3"/>
  <c r="H12" i="3"/>
  <c r="W12" i="3"/>
  <c r="O12" i="3"/>
  <c r="G12" i="3"/>
  <c r="V12" i="3"/>
  <c r="N12" i="3"/>
  <c r="F12" i="3"/>
  <c r="Z12" i="3"/>
  <c r="L12" i="3"/>
  <c r="L13" i="3" s="1"/>
  <c r="Y12" i="3"/>
  <c r="K12" i="3"/>
  <c r="Z9" i="3"/>
  <c r="Z11" i="3" s="1"/>
  <c r="X18" i="4"/>
  <c r="S36" i="4"/>
  <c r="K36" i="4"/>
  <c r="C36" i="4"/>
  <c r="Z36" i="4"/>
  <c r="R36" i="4"/>
  <c r="J36" i="4"/>
  <c r="Y36" i="4"/>
  <c r="Q36" i="4"/>
  <c r="I36" i="4"/>
  <c r="W36" i="4"/>
  <c r="O36" i="4"/>
  <c r="G36" i="4"/>
  <c r="V36" i="4"/>
  <c r="N36" i="4"/>
  <c r="F36" i="4"/>
  <c r="U36" i="4"/>
  <c r="M36" i="4"/>
  <c r="E36" i="4"/>
  <c r="T36" i="4"/>
  <c r="L36" i="4"/>
  <c r="D36" i="4"/>
  <c r="X36" i="4"/>
  <c r="P36" i="4"/>
  <c r="H36" i="4"/>
  <c r="E9" i="3"/>
  <c r="E11" i="3" s="1"/>
  <c r="E13" i="3" s="1"/>
  <c r="J12" i="3"/>
  <c r="C19" i="5"/>
  <c r="C17" i="5"/>
  <c r="C22" i="5" s="1"/>
  <c r="H23" i="4"/>
  <c r="G23" i="4"/>
  <c r="F23" i="4"/>
  <c r="X23" i="4"/>
  <c r="K9" i="3"/>
  <c r="K11" i="3" s="1"/>
  <c r="M12" i="3"/>
  <c r="M13" i="3" s="1"/>
  <c r="O23" i="4"/>
  <c r="U23" i="4"/>
  <c r="V23" i="4"/>
  <c r="C45" i="4"/>
  <c r="C37" i="4" s="1"/>
  <c r="L7" i="4" l="1"/>
  <c r="L17" i="3"/>
  <c r="L15" i="3"/>
  <c r="L16" i="3"/>
  <c r="M15" i="3"/>
  <c r="M16" i="3"/>
  <c r="M17" i="3"/>
  <c r="M7" i="4"/>
  <c r="N7" i="4"/>
  <c r="N17" i="3"/>
  <c r="N16" i="3"/>
  <c r="N15" i="3"/>
  <c r="X7" i="4"/>
  <c r="X17" i="3"/>
  <c r="X16" i="3"/>
  <c r="X15" i="3"/>
  <c r="S30" i="4"/>
  <c r="S26" i="4"/>
  <c r="S33" i="4" s="1"/>
  <c r="S19" i="4"/>
  <c r="S10" i="4"/>
  <c r="S9" i="4"/>
  <c r="Y13" i="3"/>
  <c r="V7" i="4"/>
  <c r="V17" i="3"/>
  <c r="V16" i="3"/>
  <c r="V15" i="3"/>
  <c r="R30" i="4"/>
  <c r="R26" i="4"/>
  <c r="R19" i="4"/>
  <c r="R10" i="4"/>
  <c r="R9" i="4"/>
  <c r="R11" i="4" s="1"/>
  <c r="R20" i="4" s="1"/>
  <c r="R21" i="4" s="1"/>
  <c r="C30" i="4"/>
  <c r="C26" i="4"/>
  <c r="C33" i="4" s="1"/>
  <c r="C10" i="4"/>
  <c r="C19" i="4"/>
  <c r="C9" i="4"/>
  <c r="D16" i="3"/>
  <c r="D17" i="3"/>
  <c r="D15" i="3"/>
  <c r="D7" i="4"/>
  <c r="C46" i="4"/>
  <c r="C47" i="4" s="1"/>
  <c r="D43" i="4" s="1"/>
  <c r="I7" i="4"/>
  <c r="I15" i="3"/>
  <c r="I16" i="3"/>
  <c r="I17" i="3"/>
  <c r="G7" i="4"/>
  <c r="G17" i="3"/>
  <c r="G16" i="3"/>
  <c r="G15" i="3"/>
  <c r="Q30" i="4"/>
  <c r="Q26" i="4"/>
  <c r="Q33" i="4" s="1"/>
  <c r="Q19" i="4"/>
  <c r="Q10" i="4"/>
  <c r="Q9" i="4"/>
  <c r="U15" i="3"/>
  <c r="U16" i="3"/>
  <c r="U17" i="3"/>
  <c r="U7" i="4"/>
  <c r="H7" i="4"/>
  <c r="H17" i="3"/>
  <c r="H16" i="3"/>
  <c r="H15" i="3"/>
  <c r="K13" i="3"/>
  <c r="E17" i="3"/>
  <c r="E7" i="4"/>
  <c r="E15" i="3"/>
  <c r="E16" i="3"/>
  <c r="F7" i="4"/>
  <c r="F17" i="3"/>
  <c r="F16" i="3"/>
  <c r="F15" i="3"/>
  <c r="P7" i="4"/>
  <c r="P17" i="3"/>
  <c r="P16" i="3"/>
  <c r="P15" i="3"/>
  <c r="C43" i="6"/>
  <c r="T7" i="4"/>
  <c r="T17" i="3"/>
  <c r="T16" i="3"/>
  <c r="T15" i="3"/>
  <c r="O13" i="3"/>
  <c r="Z13" i="3"/>
  <c r="J13" i="3"/>
  <c r="W13" i="3"/>
  <c r="D30" i="4" l="1"/>
  <c r="D26" i="4"/>
  <c r="D33" i="4" s="1"/>
  <c r="D19" i="4"/>
  <c r="D10" i="4"/>
  <c r="D9" i="4"/>
  <c r="H10" i="4"/>
  <c r="H9" i="4"/>
  <c r="H11" i="4" s="1"/>
  <c r="H20" i="4" s="1"/>
  <c r="H21" i="4" s="1"/>
  <c r="H19" i="4"/>
  <c r="H30" i="4"/>
  <c r="H26" i="4"/>
  <c r="H33" i="4" s="1"/>
  <c r="D45" i="4"/>
  <c r="M30" i="4"/>
  <c r="M26" i="4"/>
  <c r="M12" i="4"/>
  <c r="M13" i="4" s="1"/>
  <c r="M10" i="4"/>
  <c r="M9" i="4"/>
  <c r="M11" i="4" s="1"/>
  <c r="M20" i="4" s="1"/>
  <c r="M21" i="4" s="1"/>
  <c r="M19" i="4"/>
  <c r="E30" i="4"/>
  <c r="E26" i="4"/>
  <c r="E33" i="4" s="1"/>
  <c r="E10" i="4"/>
  <c r="E9" i="4"/>
  <c r="E11" i="4" s="1"/>
  <c r="E20" i="4" s="1"/>
  <c r="E21" i="4" s="1"/>
  <c r="E19" i="4"/>
  <c r="U30" i="4"/>
  <c r="U26" i="4"/>
  <c r="U33" i="4" s="1"/>
  <c r="U10" i="4"/>
  <c r="U9" i="4"/>
  <c r="U11" i="4" s="1"/>
  <c r="U20" i="4" s="1"/>
  <c r="U21" i="4" s="1"/>
  <c r="U19" i="4"/>
  <c r="G30" i="4"/>
  <c r="G26" i="4"/>
  <c r="G10" i="4"/>
  <c r="G9" i="4"/>
  <c r="G19" i="4"/>
  <c r="W7" i="4"/>
  <c r="W17" i="3"/>
  <c r="W16" i="3"/>
  <c r="W15" i="3"/>
  <c r="T30" i="4"/>
  <c r="T26" i="4"/>
  <c r="T12" i="4"/>
  <c r="T13" i="4" s="1"/>
  <c r="T10" i="4"/>
  <c r="T9" i="4"/>
  <c r="T11" i="4" s="1"/>
  <c r="T20" i="4" s="1"/>
  <c r="T19" i="4"/>
  <c r="T21" i="4"/>
  <c r="P10" i="4"/>
  <c r="P9" i="4"/>
  <c r="P30" i="4"/>
  <c r="P19" i="4"/>
  <c r="P26" i="4"/>
  <c r="P33" i="4" s="1"/>
  <c r="R12" i="4"/>
  <c r="X30" i="4"/>
  <c r="X12" i="4"/>
  <c r="X10" i="4"/>
  <c r="X9" i="4"/>
  <c r="X11" i="4" s="1"/>
  <c r="X20" i="4" s="1"/>
  <c r="X21" i="4"/>
  <c r="X13" i="4"/>
  <c r="X26" i="4"/>
  <c r="X33" i="4" s="1"/>
  <c r="X19" i="4"/>
  <c r="J16" i="3"/>
  <c r="J15" i="3"/>
  <c r="J7" i="4"/>
  <c r="J17" i="3"/>
  <c r="Z16" i="3"/>
  <c r="Z15" i="3"/>
  <c r="Z7" i="4"/>
  <c r="Z17" i="3"/>
  <c r="Y15" i="3"/>
  <c r="Y16" i="3"/>
  <c r="Y7" i="4"/>
  <c r="Y17" i="3"/>
  <c r="Q11" i="4"/>
  <c r="I30" i="4"/>
  <c r="I26" i="4"/>
  <c r="I33" i="4" s="1"/>
  <c r="I19" i="4"/>
  <c r="I10" i="4"/>
  <c r="I9" i="4"/>
  <c r="I11" i="4" s="1"/>
  <c r="I20" i="4" s="1"/>
  <c r="I21" i="4" s="1"/>
  <c r="I12" i="4"/>
  <c r="I34" i="4" s="1"/>
  <c r="R33" i="4"/>
  <c r="K17" i="3"/>
  <c r="K7" i="4"/>
  <c r="C6" i="6" s="1"/>
  <c r="K15" i="3"/>
  <c r="K16" i="3"/>
  <c r="V30" i="4"/>
  <c r="V26" i="4"/>
  <c r="V10" i="4"/>
  <c r="V9" i="4"/>
  <c r="V19" i="4"/>
  <c r="O7" i="4"/>
  <c r="O17" i="3"/>
  <c r="O16" i="3"/>
  <c r="O15" i="3"/>
  <c r="F30" i="4"/>
  <c r="F26" i="4"/>
  <c r="F33" i="4" s="1"/>
  <c r="F10" i="4"/>
  <c r="F9" i="4"/>
  <c r="F19" i="4"/>
  <c r="C11" i="4"/>
  <c r="S11" i="4"/>
  <c r="N30" i="4"/>
  <c r="N26" i="4"/>
  <c r="N33" i="4" s="1"/>
  <c r="N21" i="4"/>
  <c r="N10" i="4"/>
  <c r="N9" i="4"/>
  <c r="N11" i="4" s="1"/>
  <c r="N20" i="4" s="1"/>
  <c r="N19" i="4"/>
  <c r="L30" i="4"/>
  <c r="L26" i="4"/>
  <c r="L19" i="4"/>
  <c r="L9" i="4"/>
  <c r="L11" i="4" s="1"/>
  <c r="L20" i="4" s="1"/>
  <c r="L21" i="4" s="1"/>
  <c r="L10" i="4"/>
  <c r="C19" i="6" l="1"/>
  <c r="G20" i="1"/>
  <c r="I49" i="4"/>
  <c r="V33" i="4"/>
  <c r="Z30" i="4"/>
  <c r="Z26" i="4"/>
  <c r="Z33" i="4" s="1"/>
  <c r="E11" i="6" s="1"/>
  <c r="E6" i="6"/>
  <c r="Z19" i="4"/>
  <c r="Z9" i="4"/>
  <c r="Z10" i="4"/>
  <c r="R34" i="4"/>
  <c r="R13" i="4"/>
  <c r="T33" i="4"/>
  <c r="G11" i="4"/>
  <c r="M33" i="4"/>
  <c r="D11" i="4"/>
  <c r="O30" i="4"/>
  <c r="O26" i="4"/>
  <c r="O33" i="4" s="1"/>
  <c r="D6" i="6"/>
  <c r="O10" i="4"/>
  <c r="O9" i="4"/>
  <c r="O19" i="4"/>
  <c r="L12" i="4"/>
  <c r="D37" i="4"/>
  <c r="D46" i="4"/>
  <c r="D47" i="4" s="1"/>
  <c r="E43" i="4" s="1"/>
  <c r="C20" i="4"/>
  <c r="C12" i="4"/>
  <c r="I13" i="4"/>
  <c r="Y30" i="4"/>
  <c r="Y26" i="4"/>
  <c r="Y33" i="4" s="1"/>
  <c r="Y19" i="4"/>
  <c r="Y10" i="4"/>
  <c r="Y9" i="4"/>
  <c r="Y11" i="4" s="1"/>
  <c r="Y20" i="4" s="1"/>
  <c r="Y21" i="4" s="1"/>
  <c r="Y12" i="4"/>
  <c r="J30" i="4"/>
  <c r="J26" i="4"/>
  <c r="J19" i="4"/>
  <c r="J9" i="4"/>
  <c r="J10" i="4"/>
  <c r="E12" i="4"/>
  <c r="H12" i="4"/>
  <c r="N12" i="4"/>
  <c r="V11" i="4"/>
  <c r="P11" i="4"/>
  <c r="G33" i="4"/>
  <c r="U12" i="4"/>
  <c r="I35" i="4"/>
  <c r="S20" i="4"/>
  <c r="S21" i="4" s="1"/>
  <c r="S12" i="4"/>
  <c r="Q20" i="4"/>
  <c r="Q21" i="4" s="1"/>
  <c r="Q12" i="4"/>
  <c r="L33" i="4"/>
  <c r="F11" i="4"/>
  <c r="K30" i="4"/>
  <c r="K26" i="4"/>
  <c r="K33" i="4" s="1"/>
  <c r="K9" i="4"/>
  <c r="K19" i="4"/>
  <c r="K10" i="4"/>
  <c r="X34" i="4"/>
  <c r="T34" i="4"/>
  <c r="W30" i="4"/>
  <c r="W26" i="4"/>
  <c r="W10" i="4"/>
  <c r="W9" i="4"/>
  <c r="W11" i="4" s="1"/>
  <c r="W20" i="4" s="1"/>
  <c r="W21" i="4"/>
  <c r="W19" i="4"/>
  <c r="M34" i="4"/>
  <c r="C29" i="6" l="1"/>
  <c r="D19" i="6"/>
  <c r="G21" i="1"/>
  <c r="R49" i="4"/>
  <c r="R35" i="4"/>
  <c r="U34" i="4"/>
  <c r="U13" i="4"/>
  <c r="Y34" i="4"/>
  <c r="W12" i="4"/>
  <c r="P20" i="4"/>
  <c r="P21" i="4" s="1"/>
  <c r="P12" i="4"/>
  <c r="C34" i="4"/>
  <c r="C13" i="4"/>
  <c r="O11" i="4"/>
  <c r="D20" i="4"/>
  <c r="D21" i="4" s="1"/>
  <c r="D12" i="4"/>
  <c r="Z11" i="4"/>
  <c r="T49" i="4"/>
  <c r="T35" i="4"/>
  <c r="E34" i="4"/>
  <c r="E13" i="4"/>
  <c r="F20" i="4"/>
  <c r="F21" i="4" s="1"/>
  <c r="F12" i="4"/>
  <c r="W33" i="4"/>
  <c r="D11" i="6" s="1"/>
  <c r="D21" i="6" s="1"/>
  <c r="Q34" i="4"/>
  <c r="Q13" i="4"/>
  <c r="V20" i="4"/>
  <c r="V21" i="4" s="1"/>
  <c r="V12" i="4"/>
  <c r="J11" i="4"/>
  <c r="Y13" i="4"/>
  <c r="C21" i="4"/>
  <c r="M49" i="4"/>
  <c r="M35" i="4"/>
  <c r="E19" i="6"/>
  <c r="E21" i="6"/>
  <c r="X49" i="4"/>
  <c r="X35" i="4"/>
  <c r="L34" i="4"/>
  <c r="L13" i="4"/>
  <c r="N34" i="4"/>
  <c r="N13" i="4"/>
  <c r="G20" i="4"/>
  <c r="G21" i="4" s="1"/>
  <c r="G12" i="4"/>
  <c r="K11" i="4"/>
  <c r="S34" i="4"/>
  <c r="S13" i="4"/>
  <c r="H34" i="4"/>
  <c r="H13" i="4"/>
  <c r="J33" i="4"/>
  <c r="C11" i="6" s="1"/>
  <c r="C21" i="6" s="1"/>
  <c r="E45" i="4"/>
  <c r="J20" i="4" l="1"/>
  <c r="J21" i="4" s="1"/>
  <c r="C7" i="6"/>
  <c r="C18" i="6" s="1"/>
  <c r="J12" i="4"/>
  <c r="Y49" i="4"/>
  <c r="Y35" i="4"/>
  <c r="S49" i="4"/>
  <c r="S35" i="4"/>
  <c r="E37" i="4"/>
  <c r="E40" i="4" s="1"/>
  <c r="E46" i="4"/>
  <c r="E47" i="4" s="1"/>
  <c r="F43" i="4" s="1"/>
  <c r="U49" i="4"/>
  <c r="U35" i="4"/>
  <c r="K20" i="4"/>
  <c r="K21" i="4" s="1"/>
  <c r="K12" i="4"/>
  <c r="V34" i="4"/>
  <c r="V13" i="4"/>
  <c r="G34" i="4"/>
  <c r="G13" i="4"/>
  <c r="E49" i="4"/>
  <c r="E35" i="4"/>
  <c r="N49" i="4"/>
  <c r="N35" i="4"/>
  <c r="P34" i="4"/>
  <c r="P13" i="4"/>
  <c r="D7" i="6"/>
  <c r="D18" i="6" s="1"/>
  <c r="O20" i="4"/>
  <c r="O12" i="4"/>
  <c r="C8" i="6"/>
  <c r="C17" i="6" s="1"/>
  <c r="Q49" i="4"/>
  <c r="Q35" i="4"/>
  <c r="C49" i="4"/>
  <c r="C40" i="4"/>
  <c r="C38" i="4"/>
  <c r="C35" i="4"/>
  <c r="H49" i="4"/>
  <c r="H35" i="4"/>
  <c r="L49" i="4"/>
  <c r="L35" i="4"/>
  <c r="C10" i="6"/>
  <c r="C20" i="6" s="1"/>
  <c r="F34" i="4"/>
  <c r="F13" i="4"/>
  <c r="E7" i="6"/>
  <c r="E18" i="6" s="1"/>
  <c r="Z20" i="4"/>
  <c r="Z12" i="4"/>
  <c r="D34" i="4"/>
  <c r="D13" i="4"/>
  <c r="W34" i="4"/>
  <c r="W13" i="4"/>
  <c r="F49" i="4" l="1"/>
  <c r="F35" i="4"/>
  <c r="P49" i="4"/>
  <c r="P35" i="4"/>
  <c r="W49" i="4"/>
  <c r="W35" i="4"/>
  <c r="F45" i="4"/>
  <c r="E8" i="6"/>
  <c r="E17" i="6" s="1"/>
  <c r="Z34" i="4"/>
  <c r="Z13" i="4"/>
  <c r="D8" i="6"/>
  <c r="D17" i="6" s="1"/>
  <c r="O34" i="4"/>
  <c r="O13" i="4"/>
  <c r="C41" i="4"/>
  <c r="E38" i="4"/>
  <c r="G49" i="4"/>
  <c r="G35" i="4"/>
  <c r="D49" i="4"/>
  <c r="D40" i="4"/>
  <c r="D38" i="4"/>
  <c r="D35" i="4"/>
  <c r="V49" i="4"/>
  <c r="V35" i="4"/>
  <c r="E10" i="6"/>
  <c r="E20" i="6" s="1"/>
  <c r="Z21" i="4"/>
  <c r="D10" i="6"/>
  <c r="D20" i="6" s="1"/>
  <c r="G24" i="1" s="1"/>
  <c r="O21" i="4"/>
  <c r="K34" i="4"/>
  <c r="K13" i="4"/>
  <c r="J34" i="4"/>
  <c r="J13" i="4"/>
  <c r="C50" i="4" l="1"/>
  <c r="D41" i="4"/>
  <c r="J49" i="4"/>
  <c r="J35" i="4"/>
  <c r="O49" i="4"/>
  <c r="D12" i="6"/>
  <c r="O35" i="4"/>
  <c r="K49" i="4"/>
  <c r="K35" i="4"/>
  <c r="F37" i="4"/>
  <c r="F46" i="4"/>
  <c r="F47" i="4" s="1"/>
  <c r="G43" i="4" s="1"/>
  <c r="Z49" i="4"/>
  <c r="E12" i="6"/>
  <c r="Z35" i="4"/>
  <c r="C12" i="6"/>
  <c r="E24" i="6" l="1"/>
  <c r="E26" i="6"/>
  <c r="C44" i="6"/>
  <c r="G25" i="1" s="1"/>
  <c r="D24" i="6"/>
  <c r="D26" i="6"/>
  <c r="G22" i="1" s="1"/>
  <c r="G45" i="4"/>
  <c r="F38" i="4"/>
  <c r="F40" i="4"/>
  <c r="E41" i="4"/>
  <c r="D50" i="4"/>
  <c r="C24" i="6"/>
  <c r="C26" i="6"/>
  <c r="G37" i="4" l="1"/>
  <c r="G46" i="4"/>
  <c r="G47" i="4" s="1"/>
  <c r="H43" i="4" s="1"/>
  <c r="F41" i="4"/>
  <c r="E50" i="4"/>
  <c r="C31" i="6"/>
  <c r="C30" i="6"/>
  <c r="G23" i="1"/>
  <c r="H45" i="4" l="1"/>
  <c r="F50" i="4"/>
  <c r="G40" i="4"/>
  <c r="G41" i="4" s="1"/>
  <c r="G38" i="4"/>
  <c r="G50" i="4" l="1"/>
  <c r="H37" i="4"/>
  <c r="H46" i="4"/>
  <c r="H47" i="4" s="1"/>
  <c r="I43" i="4" s="1"/>
  <c r="I45" i="4" l="1"/>
  <c r="H40" i="4"/>
  <c r="H41" i="4" s="1"/>
  <c r="H38" i="4"/>
  <c r="I37" i="4" l="1"/>
  <c r="I46" i="4"/>
  <c r="I47" i="4" s="1"/>
  <c r="J43" i="4" s="1"/>
  <c r="H50" i="4"/>
  <c r="J45" i="4" l="1"/>
  <c r="I40" i="4"/>
  <c r="I41" i="4" s="1"/>
  <c r="I38" i="4"/>
  <c r="I50" i="4" l="1"/>
  <c r="J37" i="4"/>
  <c r="J46" i="4"/>
  <c r="J47" i="4" s="1"/>
  <c r="K43" i="4" s="1"/>
  <c r="K45" i="4" l="1"/>
  <c r="J40" i="4"/>
  <c r="J41" i="4" s="1"/>
  <c r="J38" i="4"/>
  <c r="J50" i="4" l="1"/>
  <c r="K37" i="4"/>
  <c r="K46" i="4"/>
  <c r="K47" i="4" s="1"/>
  <c r="L43" i="4" s="1"/>
  <c r="L45" i="4" l="1"/>
  <c r="K38" i="4"/>
  <c r="K40" i="4"/>
  <c r="K41" i="4" s="1"/>
  <c r="K50" i="4" l="1"/>
  <c r="L37" i="4"/>
  <c r="L46" i="4"/>
  <c r="L47" i="4" s="1"/>
  <c r="M43" i="4" s="1"/>
  <c r="M45" i="4" l="1"/>
  <c r="L40" i="4"/>
  <c r="L41" i="4" s="1"/>
  <c r="L38" i="4"/>
  <c r="L50" i="4" l="1"/>
  <c r="M37" i="4"/>
  <c r="M46" i="4"/>
  <c r="M47" i="4" s="1"/>
  <c r="N43" i="4" s="1"/>
  <c r="M40" i="4" l="1"/>
  <c r="M41" i="4" s="1"/>
  <c r="M38" i="4"/>
  <c r="N45" i="4"/>
  <c r="N37" i="4" l="1"/>
  <c r="N46" i="4"/>
  <c r="N47" i="4" s="1"/>
  <c r="O43" i="4" s="1"/>
  <c r="M50" i="4"/>
  <c r="O45" i="4" l="1"/>
  <c r="N40" i="4"/>
  <c r="N38" i="4"/>
  <c r="C14" i="6" l="1"/>
  <c r="N41" i="4"/>
  <c r="O37" i="4"/>
  <c r="O46" i="4"/>
  <c r="O47" i="4" s="1"/>
  <c r="P43" i="4" s="1"/>
  <c r="P45" i="4" l="1"/>
  <c r="O40" i="4"/>
  <c r="O38" i="4"/>
  <c r="O41" i="4"/>
  <c r="N50" i="4"/>
  <c r="O50" i="4" l="1"/>
  <c r="P37" i="4"/>
  <c r="P46" i="4"/>
  <c r="P47" i="4" s="1"/>
  <c r="Q43" i="4" s="1"/>
  <c r="P38" i="4" l="1"/>
  <c r="P40" i="4"/>
  <c r="Q45" i="4"/>
  <c r="Q37" i="4" l="1"/>
  <c r="Q46" i="4"/>
  <c r="Q47" i="4" s="1"/>
  <c r="R43" i="4" s="1"/>
  <c r="P41" i="4"/>
  <c r="P50" i="4" l="1"/>
  <c r="R45" i="4"/>
  <c r="Q40" i="4"/>
  <c r="Q38" i="4"/>
  <c r="R37" i="4" l="1"/>
  <c r="R46" i="4"/>
  <c r="R47" i="4" s="1"/>
  <c r="S43" i="4" s="1"/>
  <c r="Q41" i="4"/>
  <c r="Q50" i="4" l="1"/>
  <c r="S45" i="4"/>
  <c r="R38" i="4"/>
  <c r="R40" i="4"/>
  <c r="R41" i="4" s="1"/>
  <c r="R50" i="4" l="1"/>
  <c r="S37" i="4"/>
  <c r="S46" i="4"/>
  <c r="S47" i="4" s="1"/>
  <c r="T43" i="4" s="1"/>
  <c r="T45" i="4" l="1"/>
  <c r="S40" i="4"/>
  <c r="S41" i="4" s="1"/>
  <c r="S38" i="4"/>
  <c r="S50" i="4" l="1"/>
  <c r="T37" i="4"/>
  <c r="T46" i="4"/>
  <c r="T47" i="4" s="1"/>
  <c r="U43" i="4" s="1"/>
  <c r="U45" i="4" l="1"/>
  <c r="T40" i="4"/>
  <c r="T41" i="4" s="1"/>
  <c r="T38" i="4"/>
  <c r="T50" i="4" l="1"/>
  <c r="U37" i="4"/>
  <c r="U46" i="4"/>
  <c r="U47" i="4" s="1"/>
  <c r="V43" i="4" s="1"/>
  <c r="V45" i="4" l="1"/>
  <c r="U38" i="4"/>
  <c r="U40" i="4"/>
  <c r="U41" i="4" s="1"/>
  <c r="U50" i="4" l="1"/>
  <c r="V37" i="4"/>
  <c r="V46" i="4"/>
  <c r="V47" i="4" s="1"/>
  <c r="W43" i="4" s="1"/>
  <c r="W45" i="4" l="1"/>
  <c r="V40" i="4"/>
  <c r="V41" i="4" s="1"/>
  <c r="V38" i="4"/>
  <c r="V50" i="4" l="1"/>
  <c r="W37" i="4"/>
  <c r="W46" i="4"/>
  <c r="W47" i="4" s="1"/>
  <c r="X43" i="4" s="1"/>
  <c r="X45" i="4" l="1"/>
  <c r="W38" i="4"/>
  <c r="W40" i="4"/>
  <c r="W41" i="4" s="1"/>
  <c r="W50" i="4" l="1"/>
  <c r="X37" i="4"/>
  <c r="X46" i="4"/>
  <c r="X47" i="4" s="1"/>
  <c r="Y43" i="4" s="1"/>
  <c r="Y45" i="4" l="1"/>
  <c r="X38" i="4"/>
  <c r="X40" i="4"/>
  <c r="X41" i="4" s="1"/>
  <c r="X50" i="4" l="1"/>
  <c r="Y37" i="4"/>
  <c r="Y46" i="4"/>
  <c r="Y47" i="4" s="1"/>
  <c r="Z43" i="4" s="1"/>
  <c r="Z45" i="4" l="1"/>
  <c r="Y40" i="4"/>
  <c r="Y41" i="4" s="1"/>
  <c r="Y38" i="4"/>
  <c r="Y50" i="4" l="1"/>
  <c r="Z37" i="4"/>
  <c r="Z46" i="4"/>
  <c r="Z47" i="4" s="1"/>
  <c r="Z40" i="4" l="1"/>
  <c r="Z38" i="4"/>
  <c r="E14" i="6" l="1"/>
  <c r="D14" i="6"/>
  <c r="Z41" i="4"/>
  <c r="Z50" i="4" l="1"/>
  <c r="C45" i="6" s="1"/>
  <c r="G26" i="1" s="1"/>
  <c r="C23" i="5"/>
  <c r="C24" i="5" s="1"/>
  <c r="C34" i="6"/>
  <c r="C38" i="5" l="1"/>
  <c r="G17" i="1" s="1"/>
  <c r="C32" i="6"/>
  <c r="C32" i="5"/>
  <c r="C35" i="6"/>
  <c r="C36" i="6"/>
  <c r="C39" i="5" l="1"/>
  <c r="G18" i="1" s="1"/>
  <c r="C33" i="6"/>
  <c r="C33" i="5"/>
  <c r="C34" i="5" s="1"/>
</calcChain>
</file>

<file path=xl/sharedStrings.xml><?xml version="1.0" encoding="utf-8"?>
<sst xmlns="http://schemas.openxmlformats.org/spreadsheetml/2006/main" count="356" uniqueCount="299">
  <si>
    <t>BROOKLYN COFFEE SHOP</t>
  </si>
  <si>
    <t>Operating &amp; Startup Financial Model  ·  Conception → Inception</t>
  </si>
  <si>
    <t>Bedford-Stuyvesant, Brooklyn  ·  ~1,200 sq ft second-generation retail  ·  24-month commercial lease</t>
  </si>
  <si>
    <t>Prepared June 2026  ·  All figures driven by the Assumptions tab</t>
  </si>
  <si>
    <t>WHY THIS LOCATION &amp; STRUCTURE</t>
  </si>
  <si>
    <t>Prime Williamsburg / DUMBO retail runs $100-200+/sq ft and breaks the 10-15% rent-to-revenue rule that keeps a cafe solvent. The defensible pick is a dense, gentrifying, coffee-receptive corridor with mid-tier rent: the Nostrand / Tompkins Ave corridor in Bedford-Stuyvesant. Brooklyn retail asking rents average ~$56/sq ft; this model uses $60/sq ft NNN-equivalent for a ~1,200 sq ft space.</t>
  </si>
  <si>
    <t>THE 12-24 MONTH LEASE CHANGES THE STRATEGY</t>
  </si>
  <si>
    <t>A 12-24 month term is a pop-up / short-term deal, not a standard 5-10 yr retail lease. Consequences baked into this model: (1) take a SECOND-GENERATION food space (former cafe/deli) so existing plumbing, hood and grease infrastructure keep build-out LIGHT (~$90/sq ft, not $200+); (2) expect little-to-no landlord TI allowance; (3) you cannot amortize a heavy build-out over a short term, so capital discipline is survival; (4) an SBA 7(a) loan is hard to secure because lenders want lease term &gt;= loan term, so the base case is mostly equity-funded.</t>
  </si>
  <si>
    <t>HEADLINE RESULTS  (Base case — live links)</t>
  </si>
  <si>
    <t>Total cash to open (incl. working-capital reserve)</t>
  </si>
  <si>
    <t xml:space="preserve">   of which owner equity required</t>
  </si>
  <si>
    <t>Stabilized annual revenue (run-rate)</t>
  </si>
  <si>
    <t>Year 1 revenue (ramp year)</t>
  </si>
  <si>
    <t>Year 2 revenue</t>
  </si>
  <si>
    <t>Stabilized EBITDA margin (pre owner comp)</t>
  </si>
  <si>
    <t>Year 2 EBITDA (pre owner comp)</t>
  </si>
  <si>
    <t>Prime cost % (COGS + labor) — target &lt; 65%</t>
  </si>
  <si>
    <t>Month EBITDA turns positive</t>
  </si>
  <si>
    <t>Month cumulative cash flow turns positive</t>
  </si>
  <si>
    <t>HOW TO USE</t>
  </si>
  <si>
    <t>Change only the BLUE cells (inputs). Black = formulas, green = cross-tab links. The Scenario selector at the top of Assumptions (1 = Base, 2 = Downside, 3 = Upside) re-drives the whole model. The Sensitivity tab shows stabilized EBITDA across transaction-volume / ticket and rent / labor. Every output recalculates from your inputs.</t>
  </si>
  <si>
    <t>TABS</t>
  </si>
  <si>
    <t>Assumptions  ·  Startup &amp; Funding (Sources &amp; Uses)  ·  Revenue Build (24-mo ramp)  ·  P&amp;L Monthly (24-mo)  ·  Annual Summary &amp; KPIs  ·  Sensitivity  ·  Sources</t>
  </si>
  <si>
    <t>Not investment, legal, or tax advice. Permit, wage and rent figures are sourced (see Sources tab) and current as of Jan-2026 NY law; verify before committing capital.</t>
  </si>
  <si>
    <t>ASSUMPTIONS  —  change BLUE cells only</t>
  </si>
  <si>
    <t>Blue = input  ·  Black = formula  ·  Units noted per line  ·  Sources in column H</t>
  </si>
  <si>
    <t>SCENARIO ENGINE</t>
  </si>
  <si>
    <t>Active scenario  (1 = Base, 2 = Downside, 3 = Upside)</t>
  </si>
  <si>
    <t>Re-drives the whole workbook via the Active column below.</t>
  </si>
  <si>
    <t>Active scenario name</t>
  </si>
  <si>
    <t>SWING DRIVERS  (scenario-dependent)</t>
  </si>
  <si>
    <t>Base</t>
  </si>
  <si>
    <t>Downside</t>
  </si>
  <si>
    <t>Upside</t>
  </si>
  <si>
    <t>ACTIVE</t>
  </si>
  <si>
    <t>Stabilized transactions / day</t>
  </si>
  <si>
    <t>Indie Brooklyn cafe benchmark 180-260/day.</t>
  </si>
  <si>
    <t>Average ticket ($)</t>
  </si>
  <si>
    <t>NYC specialty: latte $5.5-6.5, drip $4, +pastry.</t>
  </si>
  <si>
    <t>Base rent ($/sq ft / yr)</t>
  </si>
  <si>
    <t>Bklyn retail avg ~$56; Bed-Stuy corridor $50-75.</t>
  </si>
  <si>
    <t>COGS multiplier (x on product COGS%)</t>
  </si>
  <si>
    <t>Stress on input/dairy/coffee prices.</t>
  </si>
  <si>
    <t>SPACE &amp; LEASE</t>
  </si>
  <si>
    <t>Square footage</t>
  </si>
  <si>
    <t>Bklyn restaurant listings avg ~2,360 sf; 1,200 sf cafe-scaled.</t>
  </si>
  <si>
    <t>Seats</t>
  </si>
  <si>
    <t>Counter-service + limited seating.</t>
  </si>
  <si>
    <t>Lease term (months)</t>
  </si>
  <si>
    <t>User scenario: 12-24 mo short-term / pop-up.</t>
  </si>
  <si>
    <t>Rent escalation (% / yr)</t>
  </si>
  <si>
    <t>Security deposit (months of rent)</t>
  </si>
  <si>
    <t>Short leases: 3-6 mo + personal guarantee typical.</t>
  </si>
  <si>
    <t>Free rent at start (months)</t>
  </si>
  <si>
    <t>Build-out concession; often minimal on short leases.</t>
  </si>
  <si>
    <t>Base monthly rent ($)</t>
  </si>
  <si>
    <t>REVENUE DRIVERS</t>
  </si>
  <si>
    <t>Operating days / year</t>
  </si>
  <si>
    <t>Closed ~5 holidays; 7-day operation.</t>
  </si>
  <si>
    <t>Beverage % of sales</t>
  </si>
  <si>
    <t>Food / pastry % of sales</t>
  </si>
  <si>
    <t>Retail (beans / merch) % of sales</t>
  </si>
  <si>
    <t xml:space="preserve">  Mix check (must = 100%)</t>
  </si>
  <si>
    <t>Stabilized annual revenue ($)</t>
  </si>
  <si>
    <t>Equals txns/day x ticket x operating days/yr.</t>
  </si>
  <si>
    <t>COST OF GOODS SOLD</t>
  </si>
  <si>
    <t>Beverage COGS % (of bev sales)</t>
  </si>
  <si>
    <t>Espresso/milk/syrup; cups excluded (see packaging).</t>
  </si>
  <si>
    <t>Food COGS % (of food sales)</t>
  </si>
  <si>
    <t>Wholesale par-baked pastry.</t>
  </si>
  <si>
    <t>Retail COGS % (of retail sales)</t>
  </si>
  <si>
    <t>Bagged beans / merch.</t>
  </si>
  <si>
    <t>Packaging &amp; disposables (% of total sales)</t>
  </si>
  <si>
    <t>Cups, lids, sleeves, bags (to-go heavy).</t>
  </si>
  <si>
    <t>Blended product COGS % (x scenario mult.)</t>
  </si>
  <si>
    <t>All-in COGS % (incl. packaging)</t>
  </si>
  <si>
    <t>LABOR  (NY 2026 law)</t>
  </si>
  <si>
    <t>Stabilized staffed barista-hours / week</t>
  </si>
  <si>
    <t>Owner works floor ~40 hr/wk on top (taken as draw).</t>
  </si>
  <si>
    <t>Blended hourly wage ($)</t>
  </si>
  <si>
    <t>NYC min $17.00 (1/1/26); $18 to attract; no tip credit assumed.</t>
  </si>
  <si>
    <t>Labor staffing floor (% of stabilized hrs)</t>
  </si>
  <si>
    <t>Cannot staff below this even in slow ramp months.</t>
  </si>
  <si>
    <t>Payroll burden % (FICA, UI, WC, sick)</t>
  </si>
  <si>
    <t>Employer FICA 7.65% + UI + workers comp + paid sick.</t>
  </si>
  <si>
    <t>Assistant-manager salary ($/yr)</t>
  </si>
  <si>
    <t>Owner-operated base; set &gt;0 to add a salaried manager.</t>
  </si>
  <si>
    <t>Owner draw ($/yr) — below EBITDA</t>
  </si>
  <si>
    <t>Owner's market comp; SDE adds this back.</t>
  </si>
  <si>
    <t>Stabilized annual barista cost (burdened)</t>
  </si>
  <si>
    <t>OPERATING EXPENSES</t>
  </si>
  <si>
    <t>Utilities ($/mo, stabilized)</t>
  </si>
  <si>
    <t>Electric-heavy: espresso, refrigeration, HVAC.</t>
  </si>
  <si>
    <t>Insurance ($/yr) GL + WC + property</t>
  </si>
  <si>
    <t>Required: WC + disability for DOHMH permit.</t>
  </si>
  <si>
    <t>Card processing (% of card sales)</t>
  </si>
  <si>
    <t>~2.6-2.9% blended.</t>
  </si>
  <si>
    <t>Card share of sales (%)</t>
  </si>
  <si>
    <t>Mostly cashless.</t>
  </si>
  <si>
    <t>POS / software ($/mo)</t>
  </si>
  <si>
    <t>Toast / Square subscription.</t>
  </si>
  <si>
    <t>Repairs &amp; maintenance ($/mo)</t>
  </si>
  <si>
    <t>Espresso machines need regular service.</t>
  </si>
  <si>
    <t>Waste / pest / cleaning ($/mo)</t>
  </si>
  <si>
    <t>NYC commercial trash = private carter.</t>
  </si>
  <si>
    <t>Marketing (% of sales)</t>
  </si>
  <si>
    <t>Social + paid ads (pre-opening launch budgeted separately).</t>
  </si>
  <si>
    <t>Admin / legal / acctg / licensing ($/mo)</t>
  </si>
  <si>
    <t>Bookkeeping, renewals, ASCAP/BMI music license.</t>
  </si>
  <si>
    <t>Misc / contingency opex ($/mo)</t>
  </si>
  <si>
    <t>FINANCING &amp; RESERVE</t>
  </si>
  <si>
    <t>Loan amount ($)</t>
  </si>
  <si>
    <t>Base = equity-funded (short lease impedes SBA). Flip to test debt.</t>
  </si>
  <si>
    <t>Loan interest rate (% APR)</t>
  </si>
  <si>
    <t>SBA 7(a) / equipment finance ~10.5-11.5%.</t>
  </si>
  <si>
    <t>Loan term (years)</t>
  </si>
  <si>
    <t>Working-capital buffer beyond ramp burn ($)</t>
  </si>
  <si>
    <t>Cushion on top of computed cash hole.</t>
  </si>
  <si>
    <t>Income tax rate (illustrative)</t>
  </si>
  <si>
    <t>Sole-prop/LLC pass-through; tax on owner's personal return.</t>
  </si>
  <si>
    <t>REVENUE BUILD  —  24-month ramp</t>
  </si>
  <si>
    <t>Blue ramp row is editable (% of stabilized volume). Everything else is formula-driven.</t>
  </si>
  <si>
    <t>MONTHLY VOLUME &amp; SALES</t>
  </si>
  <si>
    <t>Month</t>
  </si>
  <si>
    <t>Units</t>
  </si>
  <si>
    <t>Year</t>
  </si>
  <si>
    <t>Ramp (% of stabilized volume)</t>
  </si>
  <si>
    <t>%</t>
  </si>
  <si>
    <t>Transactions / day</t>
  </si>
  <si>
    <t>#/day</t>
  </si>
  <si>
    <t>Operating days in month</t>
  </si>
  <si>
    <t>days</t>
  </si>
  <si>
    <t>Total transactions</t>
  </si>
  <si>
    <t>#</t>
  </si>
  <si>
    <t>Average ticket</t>
  </si>
  <si>
    <t>$</t>
  </si>
  <si>
    <t>TOTAL REVENUE</t>
  </si>
  <si>
    <t>Beverage sales</t>
  </si>
  <si>
    <t>Food sales</t>
  </si>
  <si>
    <t>Retail sales</t>
  </si>
  <si>
    <t>PROFIT &amp; LOSS  —  Monthly (24 months)</t>
  </si>
  <si>
    <t>All formulas. EBITDA is pre owner-comp; owner draw and debt service shown below.</t>
  </si>
  <si>
    <t>MONTHLY P&amp;L</t>
  </si>
  <si>
    <t>Revenue</t>
  </si>
  <si>
    <t xml:space="preserve">  Product COGS</t>
  </si>
  <si>
    <t xml:space="preserve">  Packaging &amp; disposables</t>
  </si>
  <si>
    <t>Total COGS</t>
  </si>
  <si>
    <t>Gross profit</t>
  </si>
  <si>
    <t xml:space="preserve">  Gross margin %</t>
  </si>
  <si>
    <t>LABOR</t>
  </si>
  <si>
    <t xml:space="preserve">  Barista hours (month)</t>
  </si>
  <si>
    <t>hrs</t>
  </si>
  <si>
    <t xml:space="preserve">  Barista cost (burdened)</t>
  </si>
  <si>
    <t xml:space="preserve">  Assistant manager</t>
  </si>
  <si>
    <t>Total labor</t>
  </si>
  <si>
    <t xml:space="preserve">  Labor % of revenue</t>
  </si>
  <si>
    <t>PRIME COST (COGS + Labor)</t>
  </si>
  <si>
    <t xml:space="preserve">  Prime cost % (target &lt; 65%)</t>
  </si>
  <si>
    <t xml:space="preserve">  Rent</t>
  </si>
  <si>
    <t xml:space="preserve">  Utilities</t>
  </si>
  <si>
    <t xml:space="preserve">  Insurance</t>
  </si>
  <si>
    <t xml:space="preserve">  Card processing</t>
  </si>
  <si>
    <t xml:space="preserve">  POS / software</t>
  </si>
  <si>
    <t xml:space="preserve">  Repairs &amp; maintenance</t>
  </si>
  <si>
    <t xml:space="preserve">  Waste / pest / cleaning</t>
  </si>
  <si>
    <t xml:space="preserve">  Marketing</t>
  </si>
  <si>
    <t xml:space="preserve">  Admin / legal / acctg</t>
  </si>
  <si>
    <t xml:space="preserve">  Misc / contingency</t>
  </si>
  <si>
    <t>Total operating expenses</t>
  </si>
  <si>
    <t>EBITDA  (pre owner comp)</t>
  </si>
  <si>
    <t xml:space="preserve">  EBITDA margin %</t>
  </si>
  <si>
    <t xml:space="preserve">  Depreciation &amp; amortization</t>
  </si>
  <si>
    <t xml:space="preserve">  Interest expense</t>
  </si>
  <si>
    <t>Pre-tax income</t>
  </si>
  <si>
    <t xml:space="preserve">  Owner draw</t>
  </si>
  <si>
    <t>Cash flow after owner draw &amp; debt</t>
  </si>
  <si>
    <t>Cumulative cash flow</t>
  </si>
  <si>
    <t>Loan beginning balance</t>
  </si>
  <si>
    <t>Loan payment</t>
  </si>
  <si>
    <t xml:space="preserve">  Interest portion</t>
  </si>
  <si>
    <t xml:space="preserve">  Principal portion</t>
  </si>
  <si>
    <t>Loan ending balance</t>
  </si>
  <si>
    <t>EBITDA-positive month flag</t>
  </si>
  <si>
    <t>Cum-cash-positive month flag</t>
  </si>
  <si>
    <t>STARTUP COSTS &amp; FUNDING  —  Sources &amp; Uses</t>
  </si>
  <si>
    <t>One-time cash from conception to opening day. Blue = input.</t>
  </si>
  <si>
    <t>USES OF CASH  (one-time)</t>
  </si>
  <si>
    <t>Leasehold build-out — $/sq ft (input)</t>
  </si>
  <si>
    <t>Light, 2nd-gen food space. NYC fast-casual ~$200/sf from raw.</t>
  </si>
  <si>
    <t>Leasehold build-out (total)</t>
  </si>
  <si>
    <t>Equals $/sf x sq ft. Light 2nd-gen build.</t>
  </si>
  <si>
    <t>Architecture / MEP / expediter / permits</t>
  </si>
  <si>
    <t>DOB filings, drawings, expediting.</t>
  </si>
  <si>
    <t>Equipment (espresso, grinders, refrigeration, water)</t>
  </si>
  <si>
    <t>2-3 grp machine $18-25k + grinders + cold + filtration.</t>
  </si>
  <si>
    <t>FF&amp;E (millwork, seating, signage, lighting)</t>
  </si>
  <si>
    <t>Smallwares (pitchers, portafilters, mugs)</t>
  </si>
  <si>
    <t>Initial inventory (beans, milk, food, packaging)</t>
  </si>
  <si>
    <t>Licenses &amp; permits (DOHMH, food prot., DBA, sign)</t>
  </si>
  <si>
    <t>DOHMH FSE $280 + Food Protection $114 + DBA/sales-tax/sign/FDNY.</t>
  </si>
  <si>
    <t>Legal / entity formation / lease review</t>
  </si>
  <si>
    <t>Branding / web / menu design</t>
  </si>
  <si>
    <t>Pre-opening marketing &amp; launch</t>
  </si>
  <si>
    <t>Pre-opening occupancy (beyond free rent)</t>
  </si>
  <si>
    <t>~1 extra month rent during fit-out.</t>
  </si>
  <si>
    <t>Pre-opening labor &amp; training</t>
  </si>
  <si>
    <t>Staff hired ~3 wks pre-open.</t>
  </si>
  <si>
    <t>Security deposit (refundable)</t>
  </si>
  <si>
    <t>Equals deposit months x monthly rent (refundable).</t>
  </si>
  <si>
    <t>Contingency (15% of hard costs)</t>
  </si>
  <si>
    <t>On build-out + equipment + FF&amp;E + smallwares.</t>
  </si>
  <si>
    <t>Subtotal — one-time uses</t>
  </si>
  <si>
    <t>Working-capital reserve (ramp burn + buffer)</t>
  </si>
  <si>
    <t>Covers cumulative cash hole during ramp (incl. owner draw) + buffer.</t>
  </si>
  <si>
    <t>TOTAL USES (cash to open)</t>
  </si>
  <si>
    <t>DEPRECIABLE BASE  (feeds P&amp;L D&amp;A)</t>
  </si>
  <si>
    <t>Depreciable base (build-out + equip + FF&amp;E + smallwares)</t>
  </si>
  <si>
    <t>Amortized over lease term (months)</t>
  </si>
  <si>
    <t>SOURCES OF CASH</t>
  </si>
  <si>
    <t>Debt (loan)</t>
  </si>
  <si>
    <t>Owner equity (plug)</t>
  </si>
  <si>
    <t>TOTAL SOURCES</t>
  </si>
  <si>
    <t>Check: sources = uses</t>
  </si>
  <si>
    <t>Depreciable base (alias for P&amp;L)</t>
  </si>
  <si>
    <t>Total cash to open</t>
  </si>
  <si>
    <t>Owner equity required</t>
  </si>
  <si>
    <t>ANNUAL SUMMARY &amp; KPIs</t>
  </si>
  <si>
    <t>Year 1 = months 1-12 (ramp).  Year 2 = months 13-24.  Run-rate = month 24 annualized.</t>
  </si>
  <si>
    <t>P&amp;L SUMMARY</t>
  </si>
  <si>
    <t>Year 1</t>
  </si>
  <si>
    <t>Year 2</t>
  </si>
  <si>
    <t>Run-rate</t>
  </si>
  <si>
    <t>Prime cost (COGS+labor)</t>
  </si>
  <si>
    <t>EBITDA (pre owner comp)</t>
  </si>
  <si>
    <t>Owner draw</t>
  </si>
  <si>
    <t>MARGINS &amp; RATIOS</t>
  </si>
  <si>
    <t>Gross margin %</t>
  </si>
  <si>
    <t>COGS % of revenue</t>
  </si>
  <si>
    <t>Labor % of revenue</t>
  </si>
  <si>
    <t>Prime cost %  (target &lt; 65%)</t>
  </si>
  <si>
    <t>Operating expense % of revenue</t>
  </si>
  <si>
    <t>EBITDA</t>
  </si>
  <si>
    <t>EBITDA margin %</t>
  </si>
  <si>
    <t>UNIT ECONOMICS &amp; RETURNS</t>
  </si>
  <si>
    <t>Revenue per sq ft (Yr 2)</t>
  </si>
  <si>
    <t>Specialty target $400-700/sf.</t>
  </si>
  <si>
    <t>EBITDA per sq ft (Yr 2)</t>
  </si>
  <si>
    <t>Seller's Discretionary Earnings (SDE, Yr 2)</t>
  </si>
  <si>
    <t>EBITDA + owner comp; small-biz value metric.</t>
  </si>
  <si>
    <t>Sources &amp; Uses.</t>
  </si>
  <si>
    <t>Peak cash funded during ramp</t>
  </si>
  <si>
    <t>Max cumulative operating cash hole.</t>
  </si>
  <si>
    <t>Year-2 EBITDA / total cash invested</t>
  </si>
  <si>
    <t>Cash-on-cash proxy (pre owner comp).</t>
  </si>
  <si>
    <t>SDE / total cash invested (Yr 2)</t>
  </si>
  <si>
    <t>Owner all-in return proxy.</t>
  </si>
  <si>
    <t>BREAKEVEN &amp; RAMP</t>
  </si>
  <si>
    <t>Stabilized revenue / day</t>
  </si>
  <si>
    <t>Stabilized revenue / month</t>
  </si>
  <si>
    <t>Monthly fixed cost (rent+ins+labor floor+overhead)</t>
  </si>
  <si>
    <t>Contribution margin % (1 - COGS% - card - mkt)</t>
  </si>
  <si>
    <t>Monthly revenue breakeven (cover fixed)</t>
  </si>
  <si>
    <t>Revenue needed to cover monthly fixed cost.</t>
  </si>
  <si>
    <t>9999 = does not occur within 24 months.</t>
  </si>
  <si>
    <t>SENSITIVITY  —  Stabilized annual EBITDA (pre owner comp)</t>
  </si>
  <si>
    <t>Self-contained formulas using current Assumptions (except the swept axis). Recompute live.</t>
  </si>
  <si>
    <t>TABLE 1 — Transactions/day  x  Average ticket  →  Stabilized EBITDA</t>
  </si>
  <si>
    <t>Txns/day \ Ticket</t>
  </si>
  <si>
    <t>TABLE 2 — Rent $/sf  x  Weekly barista-hours  →  Stabilized EBITDA  (at active txns/ticket)</t>
  </si>
  <si>
    <t>Rent$/sf \ Hrs/wk</t>
  </si>
  <si>
    <t>Yellow cell = closest to base case. Blue = swept axis inputs.</t>
  </si>
  <si>
    <t>SOURCES  —  key inputs (verified Jun 2026)</t>
  </si>
  <si>
    <t>DATA POINT  /  SOURCE</t>
  </si>
  <si>
    <t>Data point</t>
  </si>
  <si>
    <t>Source</t>
  </si>
  <si>
    <t>Brooklyn retail asking rent ~$56/sf; restaurant spaces avg ~2,360 sf</t>
  </si>
  <si>
    <t>CommercialCafe / CommercialSearch, Brooklyn retail, 2026</t>
  </si>
  <si>
    <t>Coffee-appropriate metro retail $40-80/sf; rent target 10-15% of revenue</t>
  </si>
  <si>
    <t>My Coffee Explorer, 'Cost to Open a Coffee Shop 2026'</t>
  </si>
  <si>
    <t>NYC restaurant build-out $200-500/sf raw; 2nd-gen far cheaper</t>
  </si>
  <si>
    <t>All American Construction Group; Sweeten renovation guide</t>
  </si>
  <si>
    <t>Coffee shop build-out $75-150/sf; equipment $30-60k; espresso $5-20k</t>
  </si>
  <si>
    <t>Restroworks; My Coffee Explorer, 2026</t>
  </si>
  <si>
    <t>DOHMH Food Service Establishment permit $280 (+$25 frozen dessert)</t>
  </si>
  <si>
    <t>NYC Business Portal — Food Service Establishment Permit</t>
  </si>
  <si>
    <t>Food Protection Course/Certificate; open 22 days after filing</t>
  </si>
  <si>
    <t>NYC DOHMH; NYC Business Portal</t>
  </si>
  <si>
    <t>NYC minimum wage $17.00/hr effective 1/1/2026</t>
  </si>
  <si>
    <t>NY State DOL; NYC Business Portal, 2026</t>
  </si>
  <si>
    <t>Tipped food-service: $11.35 cash + $5.65 tip credit (if eligible)</t>
  </si>
  <si>
    <t>NY State DOL, Minimum Wage for Tipped Workers, 2026</t>
  </si>
  <si>
    <t>Independent cafes (&lt;30 locations) are NOT 'fast food' — may use tip credit</t>
  </si>
  <si>
    <t>NY Fast Food Worker Fact Sheet; Littler (Int. 757), 2026</t>
  </si>
  <si>
    <t>Pending NYC bill (Int. 757): $30/hr by 2030, tip-credit phase-out</t>
  </si>
  <si>
    <t>Littler, Mar 2026 (not enacted)</t>
  </si>
  <si>
    <t>Stabilized indie cafe ~200 txns/day @ ~$6.50 ≈ $475k/yr</t>
  </si>
  <si>
    <t>My Coffee Explorer, 2026 (model uses higher NYC ticket)</t>
  </si>
  <si>
    <t>~30% of coffee shops close yr 1; ~50-60% by yr 3-5; undercapitalization #1 cause</t>
  </si>
  <si>
    <t>Figures are planning estimates. Verify current rents, permit fees and wage law before committing capital. Not investment, legal, or tax advice.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</si>
</sst>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$#,##0;&quot;($&quot;#,##0\);\-"/>
    <numFmt numFmtId="165" formatCode="0.0%"/>
    <numFmt numFmtId="166" formatCode="#,##0;\(#,##0\);\-"/>
    <numFmt numFmtId="167" formatCode="\$#,##0.00;&quot;($&quot;#,##0.00\);\-"/>
    <numFmt numFmtId="168" formatCode="0.0\x"/>
    <numFmt numFmtId="169" formatCode="#,##0.0;\(#,##0.0\);\-"/>
  </numFmts>
  <fonts count="18" x14ac:knownFonts="1">
    <font>
      <sz val="11"/>
      <color theme="1"/>
      <name val="Calibri"/>
      <family val="2"/>
      <charset val="1"/>
    </font>
    <font>
      <b/>
      <sz val="22"/>
      <color rgb="FFB6531F"/>
      <name val="Arial"/>
      <family val="2"/>
    </font>
    <font>
      <b/>
      <sz val="12"/>
      <color rgb="FF1F2A44"/>
      <name val="Arial"/>
      <family val="2"/>
    </font>
    <font>
      <i/>
      <sz val="10"/>
      <color rgb="FF000000"/>
      <name val="Arial"/>
      <family val="2"/>
    </font>
    <font>
      <i/>
      <sz val="9"/>
      <color rgb="FF808080"/>
      <name val="Arial"/>
      <family val="2"/>
    </font>
    <font>
      <b/>
      <sz val="11"/>
      <color rgb="FFB6531F"/>
      <name val="Arial"/>
      <family val="2"/>
    </font>
    <font>
      <sz val="10"/>
      <color rgb="FF000000"/>
      <name val="Arial"/>
      <family val="2"/>
    </font>
    <font>
      <b/>
      <sz val="10"/>
      <color rgb="FF008000"/>
      <name val="Arial"/>
      <family val="2"/>
    </font>
    <font>
      <b/>
      <sz val="14"/>
      <color rgb="FFB6531F"/>
      <name val="Arial"/>
      <family val="2"/>
    </font>
    <font>
      <b/>
      <sz val="11"/>
      <color rgb="FFFFFFFF"/>
      <name val="Arial"/>
      <family val="2"/>
    </font>
    <font>
      <b/>
      <sz val="10"/>
      <color rgb="FF0000FF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FF"/>
      <name val="Arial"/>
      <family val="2"/>
    </font>
    <font>
      <b/>
      <i/>
      <sz val="10"/>
      <color rgb="FF808080"/>
      <name val="Arial"/>
      <family val="2"/>
    </font>
    <font>
      <i/>
      <sz val="10"/>
      <color rgb="FF808080"/>
      <name val="Arial"/>
      <family val="2"/>
    </font>
    <font>
      <sz val="10"/>
      <color rgb="FF008000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F2A44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EFEFEF"/>
        <bgColor rgb="FFF6F1E7"/>
      </patternFill>
    </fill>
    <fill>
      <patternFill patternType="solid">
        <fgColor rgb="FFF6F1E7"/>
        <bgColor rgb="FFEFEFEF"/>
      </patternFill>
    </fill>
  </fills>
  <borders count="2">
    <border>
      <left/>
      <right/>
      <top/>
      <bottom/>
      <diagonal/>
    </border>
    <border>
      <left style="thin">
        <color rgb="FFD9D2C5"/>
      </left>
      <right style="thin">
        <color rgb="FFD9D2C5"/>
      </right>
      <top style="thin">
        <color rgb="FFD9D2C5"/>
      </top>
      <bottom style="thin">
        <color rgb="FFD9D2C5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8" fillId="0" borderId="0" xfId="0" applyFont="1"/>
    <xf numFmtId="0" fontId="9" fillId="2" borderId="0" xfId="0" applyFont="1" applyFill="1"/>
    <xf numFmtId="0" fontId="0" fillId="2" borderId="0" xfId="0" applyFill="1"/>
    <xf numFmtId="166" fontId="10" fillId="3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166" fontId="13" fillId="0" borderId="1" xfId="0" applyNumberFormat="1" applyFont="1" applyBorder="1" applyAlignment="1">
      <alignment horizontal="center" vertical="center"/>
    </xf>
    <xf numFmtId="166" fontId="11" fillId="4" borderId="1" xfId="0" applyNumberFormat="1" applyFont="1" applyFill="1" applyBorder="1" applyAlignment="1">
      <alignment horizontal="center" vertical="center"/>
    </xf>
    <xf numFmtId="167" fontId="13" fillId="0" borderId="1" xfId="0" applyNumberFormat="1" applyFont="1" applyBorder="1" applyAlignment="1">
      <alignment horizontal="center" vertical="center"/>
    </xf>
    <xf numFmtId="167" fontId="11" fillId="4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164" fontId="11" fillId="4" borderId="1" xfId="0" applyNumberFormat="1" applyFont="1" applyFill="1" applyBorder="1" applyAlignment="1">
      <alignment horizontal="center" vertical="center"/>
    </xf>
    <xf numFmtId="168" fontId="13" fillId="0" borderId="1" xfId="0" applyNumberFormat="1" applyFont="1" applyBorder="1" applyAlignment="1">
      <alignment horizontal="center" vertical="center"/>
    </xf>
    <xf numFmtId="168" fontId="11" fillId="4" borderId="1" xfId="0" applyNumberFormat="1" applyFont="1" applyFill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165" fontId="6" fillId="4" borderId="1" xfId="0" applyNumberFormat="1" applyFont="1" applyFill="1" applyBorder="1" applyAlignment="1">
      <alignment horizontal="center" vertical="center"/>
    </xf>
    <xf numFmtId="165" fontId="11" fillId="4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4" fillId="0" borderId="0" xfId="0" applyFont="1"/>
    <xf numFmtId="166" fontId="11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15" fillId="0" borderId="0" xfId="0" applyFont="1"/>
    <xf numFmtId="169" fontId="16" fillId="0" borderId="0" xfId="0" applyNumberFormat="1" applyFont="1" applyAlignment="1">
      <alignment horizontal="center" vertical="center"/>
    </xf>
    <xf numFmtId="167" fontId="16" fillId="0" borderId="0" xfId="0" applyNumberFormat="1" applyFont="1" applyAlignment="1">
      <alignment horizontal="center" vertical="center"/>
    </xf>
    <xf numFmtId="164" fontId="11" fillId="4" borderId="0" xfId="0" applyNumberFormat="1" applyFont="1" applyFill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11" fillId="5" borderId="0" xfId="0" applyFont="1" applyFill="1"/>
    <xf numFmtId="0" fontId="0" fillId="5" borderId="0" xfId="0" applyFill="1"/>
    <xf numFmtId="164" fontId="11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64" fontId="13" fillId="0" borderId="1" xfId="0" applyNumberFormat="1" applyFont="1" applyBorder="1" applyAlignment="1">
      <alignment horizontal="right" vertical="center"/>
    </xf>
    <xf numFmtId="164" fontId="16" fillId="4" borderId="1" xfId="0" applyNumberFormat="1" applyFont="1" applyFill="1" applyBorder="1" applyAlignment="1">
      <alignment horizontal="right" vertical="center"/>
    </xf>
    <xf numFmtId="164" fontId="6" fillId="4" borderId="1" xfId="0" applyNumberFormat="1" applyFont="1" applyFill="1" applyBorder="1" applyAlignment="1">
      <alignment horizontal="right" vertical="center"/>
    </xf>
    <xf numFmtId="164" fontId="11" fillId="4" borderId="1" xfId="0" applyNumberFormat="1" applyFont="1" applyFill="1" applyBorder="1" applyAlignment="1">
      <alignment horizontal="right" vertical="center"/>
    </xf>
    <xf numFmtId="164" fontId="12" fillId="2" borderId="1" xfId="0" applyNumberFormat="1" applyFont="1" applyFill="1" applyBorder="1" applyAlignment="1">
      <alignment horizontal="right" vertical="center"/>
    </xf>
    <xf numFmtId="166" fontId="16" fillId="4" borderId="1" xfId="0" applyNumberFormat="1" applyFont="1" applyFill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164" fontId="7" fillId="4" borderId="0" xfId="0" applyNumberFormat="1" applyFont="1" applyFill="1" applyAlignment="1">
      <alignment horizontal="right" vertical="center"/>
    </xf>
    <xf numFmtId="164" fontId="16" fillId="0" borderId="0" xfId="0" applyNumberFormat="1" applyFont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164" fontId="11" fillId="4" borderId="0" xfId="0" applyNumberFormat="1" applyFont="1" applyFill="1" applyAlignment="1">
      <alignment horizontal="right" vertical="center"/>
    </xf>
    <xf numFmtId="165" fontId="11" fillId="4" borderId="0" xfId="0" applyNumberFormat="1" applyFont="1" applyFill="1" applyAlignment="1">
      <alignment horizontal="right" vertical="center"/>
    </xf>
    <xf numFmtId="165" fontId="7" fillId="4" borderId="0" xfId="0" applyNumberFormat="1" applyFont="1" applyFill="1" applyAlignment="1">
      <alignment horizontal="right" vertical="center"/>
    </xf>
    <xf numFmtId="164" fontId="16" fillId="4" borderId="0" xfId="0" applyNumberFormat="1" applyFont="1" applyFill="1" applyAlignment="1">
      <alignment horizontal="right" vertical="center"/>
    </xf>
    <xf numFmtId="164" fontId="6" fillId="4" borderId="0" xfId="0" applyNumberFormat="1" applyFont="1" applyFill="1" applyAlignment="1">
      <alignment horizontal="right" vertical="center"/>
    </xf>
    <xf numFmtId="165" fontId="6" fillId="4" borderId="0" xfId="0" applyNumberFormat="1" applyFont="1" applyFill="1" applyAlignment="1">
      <alignment horizontal="right" vertical="center"/>
    </xf>
    <xf numFmtId="166" fontId="11" fillId="4" borderId="0" xfId="0" applyNumberFormat="1" applyFont="1" applyFill="1" applyAlignment="1">
      <alignment horizontal="right" vertical="center"/>
    </xf>
    <xf numFmtId="0" fontId="11" fillId="4" borderId="1" xfId="0" applyFont="1" applyFill="1" applyBorder="1" applyAlignment="1">
      <alignment horizontal="center" vertical="center"/>
    </xf>
    <xf numFmtId="167" fontId="10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164" fontId="6" fillId="0" borderId="1" xfId="0" applyNumberFormat="1" applyFont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12" fillId="2" borderId="0" xfId="0" applyFont="1" applyFill="1"/>
    <xf numFmtId="0" fontId="17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2C5"/>
      <rgbColor rgb="FF808080"/>
      <rgbColor rgb="FF9999FF"/>
      <rgbColor rgb="FF993366"/>
      <rgbColor rgb="FFF6F1E7"/>
      <rgbColor rgb="FFEFEF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B6531F"/>
      <rgbColor rgb="FF993366"/>
      <rgbColor rgb="FF333399"/>
      <rgbColor rgb="FF1F2A4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38"/>
  <sheetViews>
    <sheetView showGridLines="0" topLeftCell="A3" zoomScaleNormal="100" workbookViewId="0">
      <selection activeCell="G17" sqref="G17"/>
    </sheetView>
  </sheetViews>
  <sheetFormatPr baseColWidth="10" defaultColWidth="8.6640625" defaultRowHeight="15" x14ac:dyDescent="0.2"/>
  <cols>
    <col min="1" max="1" width="3" customWidth="1"/>
    <col min="2" max="2" width="30" customWidth="1"/>
    <col min="3" max="10" width="12" customWidth="1"/>
  </cols>
  <sheetData>
    <row r="2" spans="2:10" ht="26.25" customHeight="1" x14ac:dyDescent="0.3">
      <c r="B2" s="3" t="s">
        <v>0</v>
      </c>
    </row>
    <row r="3" spans="2:10" ht="15" customHeight="1" x14ac:dyDescent="0.2">
      <c r="B3" s="4" t="s">
        <v>1</v>
      </c>
    </row>
    <row r="4" spans="2:10" ht="15" customHeight="1" x14ac:dyDescent="0.2">
      <c r="B4" s="5" t="s">
        <v>2</v>
      </c>
    </row>
    <row r="5" spans="2:10" ht="15" customHeight="1" x14ac:dyDescent="0.2">
      <c r="B5" s="6" t="s">
        <v>3</v>
      </c>
    </row>
    <row r="7" spans="2:10" ht="15" customHeight="1" x14ac:dyDescent="0.2">
      <c r="B7" s="7" t="s">
        <v>4</v>
      </c>
    </row>
    <row r="8" spans="2:10" ht="15" customHeight="1" x14ac:dyDescent="0.2">
      <c r="B8" s="2" t="s">
        <v>5</v>
      </c>
      <c r="C8" s="2"/>
      <c r="D8" s="2"/>
      <c r="E8" s="2"/>
      <c r="F8" s="2"/>
      <c r="G8" s="2"/>
      <c r="H8" s="2"/>
      <c r="I8" s="2"/>
      <c r="J8" s="2"/>
    </row>
    <row r="9" spans="2:10" ht="15" customHeight="1" x14ac:dyDescent="0.2">
      <c r="B9" s="2"/>
      <c r="C9" s="2"/>
      <c r="D9" s="2"/>
      <c r="E9" s="2"/>
      <c r="F9" s="2"/>
      <c r="G9" s="2"/>
      <c r="H9" s="2"/>
      <c r="I9" s="2"/>
      <c r="J9" s="2"/>
    </row>
    <row r="10" spans="2:10" ht="15" customHeight="1" x14ac:dyDescent="0.2">
      <c r="B10" s="2"/>
      <c r="C10" s="2"/>
      <c r="D10" s="2"/>
      <c r="E10" s="2"/>
      <c r="F10" s="2"/>
      <c r="G10" s="2"/>
      <c r="H10" s="2"/>
      <c r="I10" s="2"/>
      <c r="J10" s="2"/>
    </row>
    <row r="11" spans="2:10" ht="15" customHeight="1" x14ac:dyDescent="0.2">
      <c r="B11" s="7" t="s">
        <v>6</v>
      </c>
    </row>
    <row r="12" spans="2:10" ht="15" customHeight="1" x14ac:dyDescent="0.2">
      <c r="B12" s="2" t="s">
        <v>7</v>
      </c>
      <c r="C12" s="2"/>
      <c r="D12" s="2"/>
      <c r="E12" s="2"/>
      <c r="F12" s="2"/>
      <c r="G12" s="2"/>
      <c r="H12" s="2"/>
      <c r="I12" s="2"/>
      <c r="J12" s="2"/>
    </row>
    <row r="13" spans="2:10" ht="15" customHeight="1" x14ac:dyDescent="0.2">
      <c r="B13" s="2"/>
      <c r="C13" s="2"/>
      <c r="D13" s="2"/>
      <c r="E13" s="2"/>
      <c r="F13" s="2"/>
      <c r="G13" s="2"/>
      <c r="H13" s="2"/>
      <c r="I13" s="2"/>
      <c r="J13" s="2"/>
    </row>
    <row r="14" spans="2:10" ht="15" customHeight="1" x14ac:dyDescent="0.2">
      <c r="B14" s="2"/>
      <c r="C14" s="2"/>
      <c r="D14" s="2"/>
      <c r="E14" s="2"/>
      <c r="F14" s="2"/>
      <c r="G14" s="2"/>
      <c r="H14" s="2"/>
      <c r="I14" s="2"/>
      <c r="J14" s="2"/>
    </row>
    <row r="15" spans="2:10" ht="15" customHeight="1" x14ac:dyDescent="0.2">
      <c r="B15" s="2"/>
      <c r="C15" s="2"/>
      <c r="D15" s="2"/>
      <c r="E15" s="2"/>
      <c r="F15" s="2"/>
      <c r="G15" s="2"/>
      <c r="H15" s="2"/>
      <c r="I15" s="2"/>
      <c r="J15" s="2"/>
    </row>
    <row r="16" spans="2:10" ht="15" customHeight="1" x14ac:dyDescent="0.2">
      <c r="B16" s="7" t="s">
        <v>8</v>
      </c>
    </row>
    <row r="17" spans="2:10" ht="15" customHeight="1" x14ac:dyDescent="0.2">
      <c r="B17" s="8" t="s">
        <v>9</v>
      </c>
      <c r="G17" s="9">
        <f>'Startup &amp; Funding'!C38</f>
        <v>504057.24448000011</v>
      </c>
    </row>
    <row r="18" spans="2:10" ht="15" customHeight="1" x14ac:dyDescent="0.2">
      <c r="B18" s="8" t="s">
        <v>10</v>
      </c>
      <c r="G18" s="9">
        <f>'Startup &amp; Funding'!C39</f>
        <v>504057.24448000011</v>
      </c>
    </row>
    <row r="19" spans="2:10" ht="15" customHeight="1" x14ac:dyDescent="0.2">
      <c r="B19" s="8" t="s">
        <v>11</v>
      </c>
      <c r="G19" s="9">
        <f>Assumptions!C30</f>
        <v>673200</v>
      </c>
    </row>
    <row r="20" spans="2:10" ht="15" customHeight="1" x14ac:dyDescent="0.2">
      <c r="B20" s="8" t="s">
        <v>12</v>
      </c>
      <c r="G20" s="9">
        <f>'Annual Summary'!C6</f>
        <v>548097</v>
      </c>
    </row>
    <row r="21" spans="2:10" ht="15" customHeight="1" x14ac:dyDescent="0.2">
      <c r="B21" s="8" t="s">
        <v>13</v>
      </c>
      <c r="G21" s="9">
        <f>'Annual Summary'!D6</f>
        <v>687225</v>
      </c>
    </row>
    <row r="22" spans="2:10" ht="15" customHeight="1" x14ac:dyDescent="0.2">
      <c r="B22" s="8" t="s">
        <v>14</v>
      </c>
      <c r="G22" s="10">
        <f>'Annual Summary'!D26</f>
        <v>6.1884477427333936E-3</v>
      </c>
    </row>
    <row r="23" spans="2:10" ht="15" customHeight="1" x14ac:dyDescent="0.2">
      <c r="B23" s="8" t="s">
        <v>15</v>
      </c>
      <c r="G23" s="9">
        <f>'Annual Summary'!D24</f>
        <v>4252.8559999999561</v>
      </c>
    </row>
    <row r="24" spans="2:10" ht="15" customHeight="1" x14ac:dyDescent="0.2">
      <c r="B24" s="8" t="s">
        <v>16</v>
      </c>
      <c r="G24" s="10">
        <f>'Annual Summary'!D20</f>
        <v>0.69955614973262026</v>
      </c>
    </row>
    <row r="25" spans="2:10" ht="15" customHeight="1" x14ac:dyDescent="0.2">
      <c r="B25" s="8" t="s">
        <v>17</v>
      </c>
      <c r="G25" s="11">
        <f>'Annual Summary'!C44</f>
        <v>11</v>
      </c>
    </row>
    <row r="26" spans="2:10" ht="15" customHeight="1" x14ac:dyDescent="0.2">
      <c r="B26" s="8" t="s">
        <v>18</v>
      </c>
      <c r="G26" s="11">
        <f>'Annual Summary'!C45</f>
        <v>9999</v>
      </c>
    </row>
    <row r="28" spans="2:10" ht="15" customHeight="1" x14ac:dyDescent="0.2">
      <c r="B28" s="7" t="s">
        <v>19</v>
      </c>
    </row>
    <row r="29" spans="2:10" ht="15" customHeight="1" x14ac:dyDescent="0.2">
      <c r="B29" s="2" t="s">
        <v>20</v>
      </c>
      <c r="C29" s="2"/>
      <c r="D29" s="2"/>
      <c r="E29" s="2"/>
      <c r="F29" s="2"/>
      <c r="G29" s="2"/>
      <c r="H29" s="2"/>
      <c r="I29" s="2"/>
      <c r="J29" s="2"/>
    </row>
    <row r="30" spans="2:10" ht="15" customHeight="1" x14ac:dyDescent="0.2">
      <c r="B30" s="2"/>
      <c r="C30" s="2"/>
      <c r="D30" s="2"/>
      <c r="E30" s="2"/>
      <c r="F30" s="2"/>
      <c r="G30" s="2"/>
      <c r="H30" s="2"/>
      <c r="I30" s="2"/>
      <c r="J30" s="2"/>
    </row>
    <row r="31" spans="2:10" ht="15" customHeight="1" x14ac:dyDescent="0.2">
      <c r="B31" s="2"/>
      <c r="C31" s="2"/>
      <c r="D31" s="2"/>
      <c r="E31" s="2"/>
      <c r="F31" s="2"/>
      <c r="G31" s="2"/>
      <c r="H31" s="2"/>
      <c r="I31" s="2"/>
      <c r="J31" s="2"/>
    </row>
    <row r="33" spans="2:10" ht="15" customHeight="1" x14ac:dyDescent="0.2">
      <c r="B33" s="7" t="s">
        <v>21</v>
      </c>
    </row>
    <row r="34" spans="2:10" ht="15" customHeight="1" x14ac:dyDescent="0.2">
      <c r="B34" s="2" t="s">
        <v>22</v>
      </c>
      <c r="C34" s="2"/>
      <c r="D34" s="2"/>
      <c r="E34" s="2"/>
      <c r="F34" s="2"/>
      <c r="G34" s="2"/>
      <c r="H34" s="2"/>
      <c r="I34" s="2"/>
      <c r="J34" s="2"/>
    </row>
    <row r="35" spans="2:10" ht="15" customHeight="1" x14ac:dyDescent="0.2">
      <c r="B35" s="2"/>
      <c r="C35" s="2"/>
      <c r="D35" s="2"/>
      <c r="E35" s="2"/>
      <c r="F35" s="2"/>
      <c r="G35" s="2"/>
      <c r="H35" s="2"/>
      <c r="I35" s="2"/>
      <c r="J35" s="2"/>
    </row>
    <row r="37" spans="2:10" ht="15" customHeight="1" x14ac:dyDescent="0.2">
      <c r="B37" s="1" t="s">
        <v>23</v>
      </c>
      <c r="C37" s="1"/>
      <c r="D37" s="1"/>
      <c r="E37" s="1"/>
      <c r="F37" s="1"/>
      <c r="G37" s="1"/>
      <c r="H37" s="1"/>
      <c r="I37" s="1"/>
      <c r="J37" s="1"/>
    </row>
    <row r="38" spans="2:10" ht="15" customHeight="1" x14ac:dyDescent="0.2">
      <c r="B38" s="1"/>
      <c r="C38" s="1"/>
      <c r="D38" s="1"/>
      <c r="E38" s="1"/>
      <c r="F38" s="1"/>
      <c r="G38" s="1"/>
      <c r="H38" s="1"/>
      <c r="I38" s="1"/>
      <c r="J38" s="1"/>
    </row>
  </sheetData>
  <mergeCells count="5">
    <mergeCell ref="B8:J10"/>
    <mergeCell ref="B12:J15"/>
    <mergeCell ref="B29:J31"/>
    <mergeCell ref="B34:J35"/>
    <mergeCell ref="B37:J38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66"/>
  <sheetViews>
    <sheetView showGridLines="0" zoomScaleNormal="100" workbookViewId="0"/>
  </sheetViews>
  <sheetFormatPr baseColWidth="10" defaultColWidth="8.6640625" defaultRowHeight="15" x14ac:dyDescent="0.2"/>
  <cols>
    <col min="1" max="1" width="3" customWidth="1"/>
    <col min="2" max="2" width="42" customWidth="1"/>
    <col min="3" max="6" width="13" customWidth="1"/>
    <col min="7" max="7" width="2" customWidth="1"/>
    <col min="8" max="8" width="50" customWidth="1"/>
  </cols>
  <sheetData>
    <row r="2" spans="1:8" ht="17.25" customHeight="1" x14ac:dyDescent="0.2">
      <c r="B2" s="12" t="s">
        <v>24</v>
      </c>
    </row>
    <row r="3" spans="1:8" ht="15" customHeight="1" x14ac:dyDescent="0.2">
      <c r="B3" s="6" t="s">
        <v>25</v>
      </c>
    </row>
    <row r="5" spans="1:8" ht="15" customHeight="1" x14ac:dyDescent="0.2">
      <c r="A5" s="13" t="s">
        <v>26</v>
      </c>
      <c r="B5" s="14"/>
      <c r="C5" s="14"/>
      <c r="D5" s="14"/>
      <c r="E5" s="14"/>
      <c r="F5" s="14"/>
      <c r="G5" s="14"/>
      <c r="H5" s="14"/>
    </row>
    <row r="6" spans="1:8" ht="15" customHeight="1" x14ac:dyDescent="0.2">
      <c r="B6" s="8" t="s">
        <v>27</v>
      </c>
      <c r="C6" s="15">
        <v>1</v>
      </c>
      <c r="H6" s="6" t="s">
        <v>28</v>
      </c>
    </row>
    <row r="7" spans="1:8" ht="15" customHeight="1" x14ac:dyDescent="0.2">
      <c r="B7" s="8" t="s">
        <v>29</v>
      </c>
      <c r="C7" s="16" t="str">
        <f>CHOOSE(C6,"Base","Downside","Upside")</f>
        <v>Base</v>
      </c>
    </row>
    <row r="8" spans="1:8" ht="15" customHeight="1" x14ac:dyDescent="0.2"/>
    <row r="9" spans="1:8" ht="15" customHeight="1" x14ac:dyDescent="0.2">
      <c r="A9" s="13" t="s">
        <v>30</v>
      </c>
      <c r="B9" s="14"/>
      <c r="C9" s="17" t="s">
        <v>31</v>
      </c>
      <c r="D9" s="17" t="s">
        <v>32</v>
      </c>
      <c r="E9" s="17" t="s">
        <v>33</v>
      </c>
      <c r="F9" s="17" t="s">
        <v>34</v>
      </c>
      <c r="G9" s="14"/>
      <c r="H9" s="14"/>
    </row>
    <row r="10" spans="1:8" ht="15" customHeight="1" x14ac:dyDescent="0.2">
      <c r="B10" s="8" t="s">
        <v>35</v>
      </c>
      <c r="C10" s="18">
        <v>220</v>
      </c>
      <c r="D10" s="18">
        <v>170</v>
      </c>
      <c r="E10" s="18">
        <v>260</v>
      </c>
      <c r="F10" s="19">
        <f>CHOOSE($C$6,C10,D10,E10)</f>
        <v>220</v>
      </c>
      <c r="H10" s="6" t="s">
        <v>36</v>
      </c>
    </row>
    <row r="11" spans="1:8" ht="15" customHeight="1" x14ac:dyDescent="0.2">
      <c r="B11" s="8" t="s">
        <v>37</v>
      </c>
      <c r="C11" s="20">
        <v>8.5</v>
      </c>
      <c r="D11" s="20">
        <v>7.75</v>
      </c>
      <c r="E11" s="20">
        <v>9.25</v>
      </c>
      <c r="F11" s="21">
        <f>CHOOSE($C$6,C11,D11,E11)</f>
        <v>8.5</v>
      </c>
      <c r="H11" s="6" t="s">
        <v>38</v>
      </c>
    </row>
    <row r="12" spans="1:8" ht="15" customHeight="1" x14ac:dyDescent="0.2">
      <c r="B12" s="8" t="s">
        <v>39</v>
      </c>
      <c r="C12" s="22">
        <v>60</v>
      </c>
      <c r="D12" s="22">
        <v>68</v>
      </c>
      <c r="E12" s="22">
        <v>54</v>
      </c>
      <c r="F12" s="23">
        <f>CHOOSE($C$6,C12,D12,E12)</f>
        <v>60</v>
      </c>
      <c r="H12" s="6" t="s">
        <v>40</v>
      </c>
    </row>
    <row r="13" spans="1:8" ht="15" customHeight="1" x14ac:dyDescent="0.2">
      <c r="B13" s="8" t="s">
        <v>41</v>
      </c>
      <c r="C13" s="24">
        <v>1</v>
      </c>
      <c r="D13" s="24">
        <v>1.08</v>
      </c>
      <c r="E13" s="24">
        <v>0.95</v>
      </c>
      <c r="F13" s="25">
        <f>CHOOSE($C$6,C13,D13,E13)</f>
        <v>1</v>
      </c>
      <c r="H13" s="6" t="s">
        <v>42</v>
      </c>
    </row>
    <row r="14" spans="1:8" ht="15" customHeight="1" x14ac:dyDescent="0.2"/>
    <row r="15" spans="1:8" ht="15" customHeight="1" x14ac:dyDescent="0.2">
      <c r="A15" s="13" t="s">
        <v>43</v>
      </c>
      <c r="B15" s="14"/>
      <c r="C15" s="14"/>
      <c r="D15" s="14"/>
      <c r="E15" s="14"/>
      <c r="F15" s="14"/>
      <c r="G15" s="14"/>
      <c r="H15" s="14"/>
    </row>
    <row r="16" spans="1:8" ht="15" customHeight="1" x14ac:dyDescent="0.2">
      <c r="B16" s="8" t="s">
        <v>44</v>
      </c>
      <c r="C16" s="18">
        <v>1200</v>
      </c>
      <c r="H16" s="6" t="s">
        <v>45</v>
      </c>
    </row>
    <row r="17" spans="1:8" ht="15" customHeight="1" x14ac:dyDescent="0.2">
      <c r="B17" s="8" t="s">
        <v>46</v>
      </c>
      <c r="C17" s="18">
        <v>22</v>
      </c>
      <c r="H17" s="6" t="s">
        <v>47</v>
      </c>
    </row>
    <row r="18" spans="1:8" ht="15" customHeight="1" x14ac:dyDescent="0.2">
      <c r="B18" s="8" t="s">
        <v>48</v>
      </c>
      <c r="C18" s="18">
        <v>24</v>
      </c>
      <c r="H18" s="6" t="s">
        <v>49</v>
      </c>
    </row>
    <row r="19" spans="1:8" ht="15" customHeight="1" x14ac:dyDescent="0.2">
      <c r="B19" s="8" t="s">
        <v>50</v>
      </c>
      <c r="C19" s="26">
        <v>0.03</v>
      </c>
    </row>
    <row r="20" spans="1:8" ht="15" customHeight="1" x14ac:dyDescent="0.2">
      <c r="B20" s="8" t="s">
        <v>51</v>
      </c>
      <c r="C20" s="18">
        <v>4</v>
      </c>
      <c r="H20" s="6" t="s">
        <v>52</v>
      </c>
    </row>
    <row r="21" spans="1:8" ht="15" customHeight="1" x14ac:dyDescent="0.2">
      <c r="B21" s="8" t="s">
        <v>53</v>
      </c>
      <c r="C21" s="18">
        <v>1</v>
      </c>
      <c r="H21" s="6" t="s">
        <v>54</v>
      </c>
    </row>
    <row r="22" spans="1:8" ht="15" customHeight="1" x14ac:dyDescent="0.2">
      <c r="B22" s="8" t="s">
        <v>55</v>
      </c>
      <c r="C22" s="27">
        <f>F12*C16/12</f>
        <v>6000</v>
      </c>
    </row>
    <row r="23" spans="1:8" ht="15" customHeight="1" x14ac:dyDescent="0.2"/>
    <row r="24" spans="1:8" ht="15" customHeight="1" x14ac:dyDescent="0.2">
      <c r="A24" s="13" t="s">
        <v>56</v>
      </c>
      <c r="B24" s="14"/>
      <c r="C24" s="14"/>
      <c r="D24" s="14"/>
      <c r="E24" s="14"/>
      <c r="F24" s="14"/>
      <c r="G24" s="14"/>
      <c r="H24" s="14"/>
    </row>
    <row r="25" spans="1:8" ht="15" customHeight="1" x14ac:dyDescent="0.2">
      <c r="B25" s="8" t="s">
        <v>57</v>
      </c>
      <c r="C25" s="18">
        <v>360</v>
      </c>
      <c r="H25" s="6" t="s">
        <v>58</v>
      </c>
    </row>
    <row r="26" spans="1:8" ht="15" customHeight="1" x14ac:dyDescent="0.2">
      <c r="B26" s="8" t="s">
        <v>59</v>
      </c>
      <c r="C26" s="26">
        <v>0.65</v>
      </c>
    </row>
    <row r="27" spans="1:8" ht="15" customHeight="1" x14ac:dyDescent="0.2">
      <c r="B27" s="8" t="s">
        <v>60</v>
      </c>
      <c r="C27" s="26">
        <v>0.25</v>
      </c>
    </row>
    <row r="28" spans="1:8" ht="15" customHeight="1" x14ac:dyDescent="0.2">
      <c r="B28" s="8" t="s">
        <v>61</v>
      </c>
      <c r="C28" s="26">
        <v>0.1</v>
      </c>
    </row>
    <row r="29" spans="1:8" ht="15" customHeight="1" x14ac:dyDescent="0.2">
      <c r="B29" s="8" t="s">
        <v>62</v>
      </c>
      <c r="C29" s="28">
        <f>C26+C27+C28</f>
        <v>1</v>
      </c>
    </row>
    <row r="30" spans="1:8" ht="15" customHeight="1" x14ac:dyDescent="0.2">
      <c r="B30" s="8" t="s">
        <v>63</v>
      </c>
      <c r="C30" s="23">
        <f>F10*F11*C25</f>
        <v>673200</v>
      </c>
      <c r="H30" s="6" t="s">
        <v>64</v>
      </c>
    </row>
    <row r="31" spans="1:8" ht="15" customHeight="1" x14ac:dyDescent="0.2"/>
    <row r="32" spans="1:8" ht="15" customHeight="1" x14ac:dyDescent="0.2">
      <c r="A32" s="13" t="s">
        <v>65</v>
      </c>
      <c r="B32" s="14"/>
      <c r="C32" s="14"/>
      <c r="D32" s="14"/>
      <c r="E32" s="14"/>
      <c r="F32" s="14"/>
      <c r="G32" s="14"/>
      <c r="H32" s="14"/>
    </row>
    <row r="33" spans="1:8" ht="15" customHeight="1" x14ac:dyDescent="0.2">
      <c r="B33" s="8" t="s">
        <v>66</v>
      </c>
      <c r="C33" s="26">
        <v>0.22</v>
      </c>
      <c r="H33" s="6" t="s">
        <v>67</v>
      </c>
    </row>
    <row r="34" spans="1:8" ht="15" customHeight="1" x14ac:dyDescent="0.2">
      <c r="B34" s="8" t="s">
        <v>68</v>
      </c>
      <c r="C34" s="26">
        <v>0.36</v>
      </c>
      <c r="H34" s="6" t="s">
        <v>69</v>
      </c>
    </row>
    <row r="35" spans="1:8" ht="15" customHeight="1" x14ac:dyDescent="0.2">
      <c r="B35" s="8" t="s">
        <v>70</v>
      </c>
      <c r="C35" s="26">
        <v>0.52</v>
      </c>
      <c r="H35" s="6" t="s">
        <v>71</v>
      </c>
    </row>
    <row r="36" spans="1:8" ht="15" customHeight="1" x14ac:dyDescent="0.2">
      <c r="B36" s="8" t="s">
        <v>72</v>
      </c>
      <c r="C36" s="26">
        <v>0.05</v>
      </c>
      <c r="H36" s="6" t="s">
        <v>73</v>
      </c>
    </row>
    <row r="37" spans="1:8" ht="15" customHeight="1" x14ac:dyDescent="0.2">
      <c r="B37" s="8" t="s">
        <v>74</v>
      </c>
      <c r="C37" s="28">
        <f>(C26*C33+C27*C34+C28*C35)*F13</f>
        <v>0.28500000000000003</v>
      </c>
    </row>
    <row r="38" spans="1:8" ht="15" customHeight="1" x14ac:dyDescent="0.2">
      <c r="B38" s="8" t="s">
        <v>75</v>
      </c>
      <c r="C38" s="29">
        <f>C37+C36</f>
        <v>0.33500000000000002</v>
      </c>
    </row>
    <row r="39" spans="1:8" ht="15" customHeight="1" x14ac:dyDescent="0.2"/>
    <row r="40" spans="1:8" ht="15" customHeight="1" x14ac:dyDescent="0.2">
      <c r="A40" s="13" t="s">
        <v>76</v>
      </c>
      <c r="B40" s="14"/>
      <c r="C40" s="14"/>
      <c r="D40" s="14"/>
      <c r="E40" s="14"/>
      <c r="F40" s="14"/>
      <c r="G40" s="14"/>
      <c r="H40" s="14"/>
    </row>
    <row r="41" spans="1:8" ht="15" customHeight="1" x14ac:dyDescent="0.2">
      <c r="B41" s="8" t="s">
        <v>77</v>
      </c>
      <c r="C41" s="18">
        <v>230</v>
      </c>
      <c r="H41" s="6" t="s">
        <v>78</v>
      </c>
    </row>
    <row r="42" spans="1:8" ht="15" customHeight="1" x14ac:dyDescent="0.2">
      <c r="B42" s="8" t="s">
        <v>79</v>
      </c>
      <c r="C42" s="20">
        <v>18</v>
      </c>
      <c r="H42" s="6" t="s">
        <v>80</v>
      </c>
    </row>
    <row r="43" spans="1:8" ht="15" customHeight="1" x14ac:dyDescent="0.2">
      <c r="B43" s="8" t="s">
        <v>81</v>
      </c>
      <c r="C43" s="26">
        <v>0.75</v>
      </c>
      <c r="H43" s="6" t="s">
        <v>82</v>
      </c>
    </row>
    <row r="44" spans="1:8" ht="15" customHeight="1" x14ac:dyDescent="0.2">
      <c r="B44" s="8" t="s">
        <v>83</v>
      </c>
      <c r="C44" s="26">
        <v>0.14000000000000001</v>
      </c>
      <c r="H44" s="6" t="s">
        <v>84</v>
      </c>
    </row>
    <row r="45" spans="1:8" ht="15" customHeight="1" x14ac:dyDescent="0.2">
      <c r="B45" s="8" t="s">
        <v>85</v>
      </c>
      <c r="C45" s="22">
        <v>0</v>
      </c>
      <c r="H45" s="6" t="s">
        <v>86</v>
      </c>
    </row>
    <row r="46" spans="1:8" ht="15" customHeight="1" x14ac:dyDescent="0.2">
      <c r="B46" s="8" t="s">
        <v>87</v>
      </c>
      <c r="C46" s="22">
        <v>60000</v>
      </c>
      <c r="H46" s="6" t="s">
        <v>88</v>
      </c>
    </row>
    <row r="47" spans="1:8" ht="15" customHeight="1" x14ac:dyDescent="0.2">
      <c r="B47" s="8" t="s">
        <v>89</v>
      </c>
      <c r="C47" s="27">
        <f>C41*52*C42*(1+C44)</f>
        <v>245419.20000000004</v>
      </c>
    </row>
    <row r="48" spans="1:8" ht="15" customHeight="1" x14ac:dyDescent="0.2"/>
    <row r="49" spans="1:8" ht="15" customHeight="1" x14ac:dyDescent="0.2">
      <c r="A49" s="13" t="s">
        <v>90</v>
      </c>
      <c r="B49" s="14"/>
      <c r="C49" s="14"/>
      <c r="D49" s="14"/>
      <c r="E49" s="14"/>
      <c r="F49" s="14"/>
      <c r="G49" s="14"/>
      <c r="H49" s="14"/>
    </row>
    <row r="50" spans="1:8" ht="15" customHeight="1" x14ac:dyDescent="0.2">
      <c r="B50" s="8" t="s">
        <v>91</v>
      </c>
      <c r="C50" s="22">
        <v>2000</v>
      </c>
      <c r="H50" s="6" t="s">
        <v>92</v>
      </c>
    </row>
    <row r="51" spans="1:8" ht="15" customHeight="1" x14ac:dyDescent="0.2">
      <c r="B51" s="8" t="s">
        <v>93</v>
      </c>
      <c r="C51" s="22">
        <v>14000</v>
      </c>
      <c r="H51" s="6" t="s">
        <v>94</v>
      </c>
    </row>
    <row r="52" spans="1:8" ht="15" customHeight="1" x14ac:dyDescent="0.2">
      <c r="B52" s="8" t="s">
        <v>95</v>
      </c>
      <c r="C52" s="26">
        <v>2.7E-2</v>
      </c>
      <c r="H52" s="6" t="s">
        <v>96</v>
      </c>
    </row>
    <row r="53" spans="1:8" ht="15" customHeight="1" x14ac:dyDescent="0.2">
      <c r="B53" s="8" t="s">
        <v>97</v>
      </c>
      <c r="C53" s="26">
        <v>0.92</v>
      </c>
      <c r="H53" s="6" t="s">
        <v>98</v>
      </c>
    </row>
    <row r="54" spans="1:8" ht="15" customHeight="1" x14ac:dyDescent="0.2">
      <c r="B54" s="8" t="s">
        <v>99</v>
      </c>
      <c r="C54" s="22">
        <v>300</v>
      </c>
      <c r="H54" s="6" t="s">
        <v>100</v>
      </c>
    </row>
    <row r="55" spans="1:8" ht="15" customHeight="1" x14ac:dyDescent="0.2">
      <c r="B55" s="8" t="s">
        <v>101</v>
      </c>
      <c r="C55" s="22">
        <v>800</v>
      </c>
      <c r="H55" s="6" t="s">
        <v>102</v>
      </c>
    </row>
    <row r="56" spans="1:8" ht="15" customHeight="1" x14ac:dyDescent="0.2">
      <c r="B56" s="8" t="s">
        <v>103</v>
      </c>
      <c r="C56" s="22">
        <v>750</v>
      </c>
      <c r="H56" s="6" t="s">
        <v>104</v>
      </c>
    </row>
    <row r="57" spans="1:8" ht="15" customHeight="1" x14ac:dyDescent="0.2">
      <c r="B57" s="8" t="s">
        <v>105</v>
      </c>
      <c r="C57" s="26">
        <v>0.04</v>
      </c>
      <c r="H57" s="6" t="s">
        <v>106</v>
      </c>
    </row>
    <row r="58" spans="1:8" ht="15" customHeight="1" x14ac:dyDescent="0.2">
      <c r="B58" s="8" t="s">
        <v>107</v>
      </c>
      <c r="C58" s="22">
        <v>1400</v>
      </c>
      <c r="H58" s="6" t="s">
        <v>108</v>
      </c>
    </row>
    <row r="59" spans="1:8" ht="15" customHeight="1" x14ac:dyDescent="0.2">
      <c r="B59" s="8" t="s">
        <v>109</v>
      </c>
      <c r="C59" s="22">
        <v>500</v>
      </c>
    </row>
    <row r="60" spans="1:8" ht="15" customHeight="1" x14ac:dyDescent="0.2"/>
    <row r="61" spans="1:8" ht="15" customHeight="1" x14ac:dyDescent="0.2">
      <c r="A61" s="13" t="s">
        <v>110</v>
      </c>
      <c r="B61" s="14"/>
      <c r="C61" s="14"/>
      <c r="D61" s="14"/>
      <c r="E61" s="14"/>
      <c r="F61" s="14"/>
      <c r="G61" s="14"/>
      <c r="H61" s="14"/>
    </row>
    <row r="62" spans="1:8" ht="15" customHeight="1" x14ac:dyDescent="0.2">
      <c r="B62" s="8" t="s">
        <v>111</v>
      </c>
      <c r="C62" s="22">
        <v>0</v>
      </c>
      <c r="H62" s="6" t="s">
        <v>112</v>
      </c>
    </row>
    <row r="63" spans="1:8" ht="15" customHeight="1" x14ac:dyDescent="0.2">
      <c r="B63" s="8" t="s">
        <v>113</v>
      </c>
      <c r="C63" s="26">
        <v>0.11</v>
      </c>
      <c r="H63" s="6" t="s">
        <v>114</v>
      </c>
    </row>
    <row r="64" spans="1:8" ht="15" customHeight="1" x14ac:dyDescent="0.2">
      <c r="B64" s="8" t="s">
        <v>115</v>
      </c>
      <c r="C64" s="18">
        <v>7</v>
      </c>
    </row>
    <row r="65" spans="2:8" ht="15" customHeight="1" x14ac:dyDescent="0.2">
      <c r="B65" s="8" t="s">
        <v>116</v>
      </c>
      <c r="C65" s="22">
        <v>25000</v>
      </c>
      <c r="H65" s="6" t="s">
        <v>117</v>
      </c>
    </row>
    <row r="66" spans="2:8" ht="15" customHeight="1" x14ac:dyDescent="0.2">
      <c r="B66" s="8" t="s">
        <v>118</v>
      </c>
      <c r="C66" s="26">
        <v>0</v>
      </c>
      <c r="H66" s="6" t="s">
        <v>119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Z17"/>
  <sheetViews>
    <sheetView showGridLines="0" zoomScaleNormal="100" workbookViewId="0"/>
  </sheetViews>
  <sheetFormatPr baseColWidth="10" defaultColWidth="8.6640625" defaultRowHeight="15" x14ac:dyDescent="0.2"/>
  <cols>
    <col min="1" max="1" width="34" customWidth="1"/>
    <col min="2" max="2" width="11" customWidth="1"/>
    <col min="3" max="26" width="9.5" customWidth="1"/>
  </cols>
  <sheetData>
    <row r="2" spans="1:26" ht="17.25" customHeight="1" x14ac:dyDescent="0.2">
      <c r="A2" s="12" t="s">
        <v>120</v>
      </c>
    </row>
    <row r="3" spans="1:26" ht="15" customHeight="1" x14ac:dyDescent="0.2">
      <c r="A3" s="6" t="s">
        <v>121</v>
      </c>
    </row>
    <row r="5" spans="1:26" ht="15" customHeight="1" x14ac:dyDescent="0.2">
      <c r="A5" s="13" t="s">
        <v>122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5" customHeight="1" x14ac:dyDescent="0.2">
      <c r="A6" s="30" t="s">
        <v>123</v>
      </c>
      <c r="B6" s="31" t="s">
        <v>124</v>
      </c>
      <c r="C6" s="32">
        <v>1</v>
      </c>
      <c r="D6" s="32">
        <v>2</v>
      </c>
      <c r="E6" s="32">
        <v>3</v>
      </c>
      <c r="F6" s="32">
        <v>4</v>
      </c>
      <c r="G6" s="32">
        <v>5</v>
      </c>
      <c r="H6" s="32">
        <v>6</v>
      </c>
      <c r="I6" s="32">
        <v>7</v>
      </c>
      <c r="J6" s="32">
        <v>8</v>
      </c>
      <c r="K6" s="32">
        <v>9</v>
      </c>
      <c r="L6" s="32">
        <v>10</v>
      </c>
      <c r="M6" s="32">
        <v>11</v>
      </c>
      <c r="N6" s="32">
        <v>12</v>
      </c>
      <c r="O6" s="32">
        <v>13</v>
      </c>
      <c r="P6" s="32">
        <v>14</v>
      </c>
      <c r="Q6" s="32">
        <v>15</v>
      </c>
      <c r="R6" s="32">
        <v>16</v>
      </c>
      <c r="S6" s="32">
        <v>17</v>
      </c>
      <c r="T6" s="32">
        <v>18</v>
      </c>
      <c r="U6" s="32">
        <v>19</v>
      </c>
      <c r="V6" s="32">
        <v>20</v>
      </c>
      <c r="W6" s="32">
        <v>21</v>
      </c>
      <c r="X6" s="32">
        <v>22</v>
      </c>
      <c r="Y6" s="32">
        <v>23</v>
      </c>
      <c r="Z6" s="32">
        <v>24</v>
      </c>
    </row>
    <row r="7" spans="1:26" ht="15" customHeight="1" x14ac:dyDescent="0.2">
      <c r="A7" s="8" t="s">
        <v>125</v>
      </c>
      <c r="C7" s="33">
        <f t="shared" ref="C7:Z7" si="0">IF(C6&lt;=12,1,2)</f>
        <v>1</v>
      </c>
      <c r="D7" s="33">
        <f t="shared" si="0"/>
        <v>1</v>
      </c>
      <c r="E7" s="33">
        <f t="shared" si="0"/>
        <v>1</v>
      </c>
      <c r="F7" s="33">
        <f t="shared" si="0"/>
        <v>1</v>
      </c>
      <c r="G7" s="33">
        <f t="shared" si="0"/>
        <v>1</v>
      </c>
      <c r="H7" s="33">
        <f t="shared" si="0"/>
        <v>1</v>
      </c>
      <c r="I7" s="33">
        <f t="shared" si="0"/>
        <v>1</v>
      </c>
      <c r="J7" s="33">
        <f t="shared" si="0"/>
        <v>1</v>
      </c>
      <c r="K7" s="33">
        <f t="shared" si="0"/>
        <v>1</v>
      </c>
      <c r="L7" s="33">
        <f t="shared" si="0"/>
        <v>1</v>
      </c>
      <c r="M7" s="33">
        <f t="shared" si="0"/>
        <v>1</v>
      </c>
      <c r="N7" s="33">
        <f t="shared" si="0"/>
        <v>1</v>
      </c>
      <c r="O7" s="33">
        <f t="shared" si="0"/>
        <v>2</v>
      </c>
      <c r="P7" s="33">
        <f t="shared" si="0"/>
        <v>2</v>
      </c>
      <c r="Q7" s="33">
        <f t="shared" si="0"/>
        <v>2</v>
      </c>
      <c r="R7" s="33">
        <f t="shared" si="0"/>
        <v>2</v>
      </c>
      <c r="S7" s="33">
        <f t="shared" si="0"/>
        <v>2</v>
      </c>
      <c r="T7" s="33">
        <f t="shared" si="0"/>
        <v>2</v>
      </c>
      <c r="U7" s="33">
        <f t="shared" si="0"/>
        <v>2</v>
      </c>
      <c r="V7" s="33">
        <f t="shared" si="0"/>
        <v>2</v>
      </c>
      <c r="W7" s="33">
        <f t="shared" si="0"/>
        <v>2</v>
      </c>
      <c r="X7" s="33">
        <f t="shared" si="0"/>
        <v>2</v>
      </c>
      <c r="Y7" s="33">
        <f t="shared" si="0"/>
        <v>2</v>
      </c>
      <c r="Z7" s="33">
        <f t="shared" si="0"/>
        <v>2</v>
      </c>
    </row>
    <row r="8" spans="1:26" ht="15" customHeight="1" x14ac:dyDescent="0.2">
      <c r="A8" s="8" t="s">
        <v>126</v>
      </c>
      <c r="B8" s="34" t="s">
        <v>127</v>
      </c>
      <c r="C8" s="26">
        <v>0.45</v>
      </c>
      <c r="D8" s="26">
        <v>0.57999999999999996</v>
      </c>
      <c r="E8" s="26">
        <v>0.68</v>
      </c>
      <c r="F8" s="26">
        <v>0.75</v>
      </c>
      <c r="G8" s="26">
        <v>0.8</v>
      </c>
      <c r="H8" s="26">
        <v>0.84</v>
      </c>
      <c r="I8" s="26">
        <v>0.88</v>
      </c>
      <c r="J8" s="26">
        <v>0.91</v>
      </c>
      <c r="K8" s="26">
        <v>0.94</v>
      </c>
      <c r="L8" s="26">
        <v>0.96</v>
      </c>
      <c r="M8" s="26">
        <v>0.98</v>
      </c>
      <c r="N8" s="26">
        <v>1</v>
      </c>
      <c r="O8" s="26">
        <v>0.97</v>
      </c>
      <c r="P8" s="26">
        <v>0.99</v>
      </c>
      <c r="Q8" s="26">
        <v>1</v>
      </c>
      <c r="R8" s="26">
        <v>1.02</v>
      </c>
      <c r="S8" s="26">
        <v>1.03</v>
      </c>
      <c r="T8" s="26">
        <v>1.02</v>
      </c>
      <c r="U8" s="26">
        <v>1</v>
      </c>
      <c r="V8" s="26">
        <v>1.04</v>
      </c>
      <c r="W8" s="26">
        <v>1.05</v>
      </c>
      <c r="X8" s="26">
        <v>1.04</v>
      </c>
      <c r="Y8" s="26">
        <v>1.03</v>
      </c>
      <c r="Z8" s="26">
        <v>1.06</v>
      </c>
    </row>
    <row r="9" spans="1:26" ht="15" customHeight="1" x14ac:dyDescent="0.2">
      <c r="A9" s="8" t="s">
        <v>128</v>
      </c>
      <c r="B9" s="34" t="s">
        <v>129</v>
      </c>
      <c r="C9" s="35">
        <f>Assumptions!$F$10*C8</f>
        <v>99</v>
      </c>
      <c r="D9" s="35">
        <f>Assumptions!$F$10*D8</f>
        <v>127.6</v>
      </c>
      <c r="E9" s="35">
        <f>Assumptions!$F$10*E8</f>
        <v>149.60000000000002</v>
      </c>
      <c r="F9" s="35">
        <f>Assumptions!$F$10*F8</f>
        <v>165</v>
      </c>
      <c r="G9" s="35">
        <f>Assumptions!$F$10*G8</f>
        <v>176</v>
      </c>
      <c r="H9" s="35">
        <f>Assumptions!$F$10*H8</f>
        <v>184.79999999999998</v>
      </c>
      <c r="I9" s="35">
        <f>Assumptions!$F$10*I8</f>
        <v>193.6</v>
      </c>
      <c r="J9" s="35">
        <f>Assumptions!$F$10*J8</f>
        <v>200.20000000000002</v>
      </c>
      <c r="K9" s="35">
        <f>Assumptions!$F$10*K8</f>
        <v>206.79999999999998</v>
      </c>
      <c r="L9" s="35">
        <f>Assumptions!$F$10*L8</f>
        <v>211.2</v>
      </c>
      <c r="M9" s="35">
        <f>Assumptions!$F$10*M8</f>
        <v>215.6</v>
      </c>
      <c r="N9" s="35">
        <f>Assumptions!$F$10*N8</f>
        <v>220</v>
      </c>
      <c r="O9" s="35">
        <f>Assumptions!$F$10*O8</f>
        <v>213.4</v>
      </c>
      <c r="P9" s="35">
        <f>Assumptions!$F$10*P8</f>
        <v>217.8</v>
      </c>
      <c r="Q9" s="35">
        <f>Assumptions!$F$10*Q8</f>
        <v>220</v>
      </c>
      <c r="R9" s="35">
        <f>Assumptions!$F$10*R8</f>
        <v>224.4</v>
      </c>
      <c r="S9" s="35">
        <f>Assumptions!$F$10*S8</f>
        <v>226.6</v>
      </c>
      <c r="T9" s="35">
        <f>Assumptions!$F$10*T8</f>
        <v>224.4</v>
      </c>
      <c r="U9" s="35">
        <f>Assumptions!$F$10*U8</f>
        <v>220</v>
      </c>
      <c r="V9" s="35">
        <f>Assumptions!$F$10*V8</f>
        <v>228.8</v>
      </c>
      <c r="W9" s="35">
        <f>Assumptions!$F$10*W8</f>
        <v>231</v>
      </c>
      <c r="X9" s="35">
        <f>Assumptions!$F$10*X8</f>
        <v>228.8</v>
      </c>
      <c r="Y9" s="35">
        <f>Assumptions!$F$10*Y8</f>
        <v>226.6</v>
      </c>
      <c r="Z9" s="35">
        <f>Assumptions!$F$10*Z8</f>
        <v>233.20000000000002</v>
      </c>
    </row>
    <row r="10" spans="1:26" ht="15" customHeight="1" x14ac:dyDescent="0.2">
      <c r="A10" s="8" t="s">
        <v>130</v>
      </c>
      <c r="B10" s="34" t="s">
        <v>131</v>
      </c>
      <c r="C10" s="35">
        <f>Assumptions!$C$25/12</f>
        <v>30</v>
      </c>
      <c r="D10" s="35">
        <f>Assumptions!$C$25/12</f>
        <v>30</v>
      </c>
      <c r="E10" s="35">
        <f>Assumptions!$C$25/12</f>
        <v>30</v>
      </c>
      <c r="F10" s="35">
        <f>Assumptions!$C$25/12</f>
        <v>30</v>
      </c>
      <c r="G10" s="35">
        <f>Assumptions!$C$25/12</f>
        <v>30</v>
      </c>
      <c r="H10" s="35">
        <f>Assumptions!$C$25/12</f>
        <v>30</v>
      </c>
      <c r="I10" s="35">
        <f>Assumptions!$C$25/12</f>
        <v>30</v>
      </c>
      <c r="J10" s="35">
        <f>Assumptions!$C$25/12</f>
        <v>30</v>
      </c>
      <c r="K10" s="35">
        <f>Assumptions!$C$25/12</f>
        <v>30</v>
      </c>
      <c r="L10" s="35">
        <f>Assumptions!$C$25/12</f>
        <v>30</v>
      </c>
      <c r="M10" s="35">
        <f>Assumptions!$C$25/12</f>
        <v>30</v>
      </c>
      <c r="N10" s="35">
        <f>Assumptions!$C$25/12</f>
        <v>30</v>
      </c>
      <c r="O10" s="35">
        <f>Assumptions!$C$25/12</f>
        <v>30</v>
      </c>
      <c r="P10" s="35">
        <f>Assumptions!$C$25/12</f>
        <v>30</v>
      </c>
      <c r="Q10" s="35">
        <f>Assumptions!$C$25/12</f>
        <v>30</v>
      </c>
      <c r="R10" s="35">
        <f>Assumptions!$C$25/12</f>
        <v>30</v>
      </c>
      <c r="S10" s="35">
        <f>Assumptions!$C$25/12</f>
        <v>30</v>
      </c>
      <c r="T10" s="35">
        <f>Assumptions!$C$25/12</f>
        <v>30</v>
      </c>
      <c r="U10" s="35">
        <f>Assumptions!$C$25/12</f>
        <v>30</v>
      </c>
      <c r="V10" s="35">
        <f>Assumptions!$C$25/12</f>
        <v>30</v>
      </c>
      <c r="W10" s="35">
        <f>Assumptions!$C$25/12</f>
        <v>30</v>
      </c>
      <c r="X10" s="35">
        <f>Assumptions!$C$25/12</f>
        <v>30</v>
      </c>
      <c r="Y10" s="35">
        <f>Assumptions!$C$25/12</f>
        <v>30</v>
      </c>
      <c r="Z10" s="35">
        <f>Assumptions!$C$25/12</f>
        <v>30</v>
      </c>
    </row>
    <row r="11" spans="1:26" ht="15" customHeight="1" x14ac:dyDescent="0.2">
      <c r="A11" s="8" t="s">
        <v>132</v>
      </c>
      <c r="B11" s="34" t="s">
        <v>133</v>
      </c>
      <c r="C11" s="33">
        <f t="shared" ref="C11:Z11" si="1">C9*C10</f>
        <v>2970</v>
      </c>
      <c r="D11" s="33">
        <f t="shared" si="1"/>
        <v>3828</v>
      </c>
      <c r="E11" s="33">
        <f t="shared" si="1"/>
        <v>4488.0000000000009</v>
      </c>
      <c r="F11" s="33">
        <f t="shared" si="1"/>
        <v>4950</v>
      </c>
      <c r="G11" s="33">
        <f t="shared" si="1"/>
        <v>5280</v>
      </c>
      <c r="H11" s="33">
        <f t="shared" si="1"/>
        <v>5543.9999999999991</v>
      </c>
      <c r="I11" s="33">
        <f t="shared" si="1"/>
        <v>5808</v>
      </c>
      <c r="J11" s="33">
        <f t="shared" si="1"/>
        <v>6006.0000000000009</v>
      </c>
      <c r="K11" s="33">
        <f t="shared" si="1"/>
        <v>6203.9999999999991</v>
      </c>
      <c r="L11" s="33">
        <f t="shared" si="1"/>
        <v>6336</v>
      </c>
      <c r="M11" s="33">
        <f t="shared" si="1"/>
        <v>6468</v>
      </c>
      <c r="N11" s="33">
        <f t="shared" si="1"/>
        <v>6600</v>
      </c>
      <c r="O11" s="33">
        <f t="shared" si="1"/>
        <v>6402</v>
      </c>
      <c r="P11" s="33">
        <f t="shared" si="1"/>
        <v>6534</v>
      </c>
      <c r="Q11" s="33">
        <f t="shared" si="1"/>
        <v>6600</v>
      </c>
      <c r="R11" s="33">
        <f t="shared" si="1"/>
        <v>6732</v>
      </c>
      <c r="S11" s="33">
        <f t="shared" si="1"/>
        <v>6798</v>
      </c>
      <c r="T11" s="33">
        <f t="shared" si="1"/>
        <v>6732</v>
      </c>
      <c r="U11" s="33">
        <f t="shared" si="1"/>
        <v>6600</v>
      </c>
      <c r="V11" s="33">
        <f t="shared" si="1"/>
        <v>6864</v>
      </c>
      <c r="W11" s="33">
        <f t="shared" si="1"/>
        <v>6930</v>
      </c>
      <c r="X11" s="33">
        <f t="shared" si="1"/>
        <v>6864</v>
      </c>
      <c r="Y11" s="33">
        <f t="shared" si="1"/>
        <v>6798</v>
      </c>
      <c r="Z11" s="33">
        <f t="shared" si="1"/>
        <v>6996.0000000000009</v>
      </c>
    </row>
    <row r="12" spans="1:26" ht="15" customHeight="1" x14ac:dyDescent="0.2">
      <c r="A12" s="8" t="s">
        <v>134</v>
      </c>
      <c r="B12" s="34" t="s">
        <v>135</v>
      </c>
      <c r="C12" s="36">
        <f>Assumptions!$F$11</f>
        <v>8.5</v>
      </c>
      <c r="D12" s="36">
        <f>Assumptions!$F$11</f>
        <v>8.5</v>
      </c>
      <c r="E12" s="36">
        <f>Assumptions!$F$11</f>
        <v>8.5</v>
      </c>
      <c r="F12" s="36">
        <f>Assumptions!$F$11</f>
        <v>8.5</v>
      </c>
      <c r="G12" s="36">
        <f>Assumptions!$F$11</f>
        <v>8.5</v>
      </c>
      <c r="H12" s="36">
        <f>Assumptions!$F$11</f>
        <v>8.5</v>
      </c>
      <c r="I12" s="36">
        <f>Assumptions!$F$11</f>
        <v>8.5</v>
      </c>
      <c r="J12" s="36">
        <f>Assumptions!$F$11</f>
        <v>8.5</v>
      </c>
      <c r="K12" s="36">
        <f>Assumptions!$F$11</f>
        <v>8.5</v>
      </c>
      <c r="L12" s="36">
        <f>Assumptions!$F$11</f>
        <v>8.5</v>
      </c>
      <c r="M12" s="36">
        <f>Assumptions!$F$11</f>
        <v>8.5</v>
      </c>
      <c r="N12" s="36">
        <f>Assumptions!$F$11</f>
        <v>8.5</v>
      </c>
      <c r="O12" s="36">
        <f>Assumptions!$F$11</f>
        <v>8.5</v>
      </c>
      <c r="P12" s="36">
        <f>Assumptions!$F$11</f>
        <v>8.5</v>
      </c>
      <c r="Q12" s="36">
        <f>Assumptions!$F$11</f>
        <v>8.5</v>
      </c>
      <c r="R12" s="36">
        <f>Assumptions!$F$11</f>
        <v>8.5</v>
      </c>
      <c r="S12" s="36">
        <f>Assumptions!$F$11</f>
        <v>8.5</v>
      </c>
      <c r="T12" s="36">
        <f>Assumptions!$F$11</f>
        <v>8.5</v>
      </c>
      <c r="U12" s="36">
        <f>Assumptions!$F$11</f>
        <v>8.5</v>
      </c>
      <c r="V12" s="36">
        <f>Assumptions!$F$11</f>
        <v>8.5</v>
      </c>
      <c r="W12" s="36">
        <f>Assumptions!$F$11</f>
        <v>8.5</v>
      </c>
      <c r="X12" s="36">
        <f>Assumptions!$F$11</f>
        <v>8.5</v>
      </c>
      <c r="Y12" s="36">
        <f>Assumptions!$F$11</f>
        <v>8.5</v>
      </c>
      <c r="Z12" s="36">
        <f>Assumptions!$F$11</f>
        <v>8.5</v>
      </c>
    </row>
    <row r="13" spans="1:26" ht="15" customHeight="1" x14ac:dyDescent="0.2">
      <c r="A13" s="30" t="s">
        <v>136</v>
      </c>
      <c r="B13" s="34" t="s">
        <v>135</v>
      </c>
      <c r="C13" s="37">
        <f t="shared" ref="C13:Z13" si="2">C11*C12</f>
        <v>25245</v>
      </c>
      <c r="D13" s="37">
        <f t="shared" si="2"/>
        <v>32538</v>
      </c>
      <c r="E13" s="37">
        <f t="shared" si="2"/>
        <v>38148.000000000007</v>
      </c>
      <c r="F13" s="37">
        <f t="shared" si="2"/>
        <v>42075</v>
      </c>
      <c r="G13" s="37">
        <f t="shared" si="2"/>
        <v>44880</v>
      </c>
      <c r="H13" s="37">
        <f t="shared" si="2"/>
        <v>47123.999999999993</v>
      </c>
      <c r="I13" s="37">
        <f t="shared" si="2"/>
        <v>49368</v>
      </c>
      <c r="J13" s="37">
        <f t="shared" si="2"/>
        <v>51051.000000000007</v>
      </c>
      <c r="K13" s="37">
        <f t="shared" si="2"/>
        <v>52733.999999999993</v>
      </c>
      <c r="L13" s="37">
        <f t="shared" si="2"/>
        <v>53856</v>
      </c>
      <c r="M13" s="37">
        <f t="shared" si="2"/>
        <v>54978</v>
      </c>
      <c r="N13" s="37">
        <f t="shared" si="2"/>
        <v>56100</v>
      </c>
      <c r="O13" s="37">
        <f t="shared" si="2"/>
        <v>54417</v>
      </c>
      <c r="P13" s="37">
        <f t="shared" si="2"/>
        <v>55539</v>
      </c>
      <c r="Q13" s="37">
        <f t="shared" si="2"/>
        <v>56100</v>
      </c>
      <c r="R13" s="37">
        <f t="shared" si="2"/>
        <v>57222</v>
      </c>
      <c r="S13" s="37">
        <f t="shared" si="2"/>
        <v>57783</v>
      </c>
      <c r="T13" s="37">
        <f t="shared" si="2"/>
        <v>57222</v>
      </c>
      <c r="U13" s="37">
        <f t="shared" si="2"/>
        <v>56100</v>
      </c>
      <c r="V13" s="37">
        <f t="shared" si="2"/>
        <v>58344</v>
      </c>
      <c r="W13" s="37">
        <f t="shared" si="2"/>
        <v>58905</v>
      </c>
      <c r="X13" s="37">
        <f t="shared" si="2"/>
        <v>58344</v>
      </c>
      <c r="Y13" s="37">
        <f t="shared" si="2"/>
        <v>57783</v>
      </c>
      <c r="Z13" s="37">
        <f t="shared" si="2"/>
        <v>59466.000000000007</v>
      </c>
    </row>
    <row r="15" spans="1:26" ht="15" customHeight="1" x14ac:dyDescent="0.2">
      <c r="A15" s="8" t="s">
        <v>137</v>
      </c>
      <c r="B15" s="34" t="s">
        <v>135</v>
      </c>
      <c r="C15" s="38">
        <f>C13*Assumptions!$C$26</f>
        <v>16409.25</v>
      </c>
      <c r="D15" s="38">
        <f>D13*Assumptions!$C$26</f>
        <v>21149.7</v>
      </c>
      <c r="E15" s="38">
        <f>E13*Assumptions!$C$26</f>
        <v>24796.200000000004</v>
      </c>
      <c r="F15" s="38">
        <f>F13*Assumptions!$C$26</f>
        <v>27348.75</v>
      </c>
      <c r="G15" s="38">
        <f>G13*Assumptions!$C$26</f>
        <v>29172</v>
      </c>
      <c r="H15" s="38">
        <f>H13*Assumptions!$C$26</f>
        <v>30630.599999999995</v>
      </c>
      <c r="I15" s="38">
        <f>I13*Assumptions!$C$26</f>
        <v>32089.200000000001</v>
      </c>
      <c r="J15" s="38">
        <f>J13*Assumptions!$C$26</f>
        <v>33183.150000000009</v>
      </c>
      <c r="K15" s="38">
        <f>K13*Assumptions!$C$26</f>
        <v>34277.1</v>
      </c>
      <c r="L15" s="38">
        <f>L13*Assumptions!$C$26</f>
        <v>35006.400000000001</v>
      </c>
      <c r="M15" s="38">
        <f>M13*Assumptions!$C$26</f>
        <v>35735.700000000004</v>
      </c>
      <c r="N15" s="38">
        <f>N13*Assumptions!$C$26</f>
        <v>36465</v>
      </c>
      <c r="O15" s="38">
        <f>O13*Assumptions!$C$26</f>
        <v>35371.050000000003</v>
      </c>
      <c r="P15" s="38">
        <f>P13*Assumptions!$C$26</f>
        <v>36100.35</v>
      </c>
      <c r="Q15" s="38">
        <f>Q13*Assumptions!$C$26</f>
        <v>36465</v>
      </c>
      <c r="R15" s="38">
        <f>R13*Assumptions!$C$26</f>
        <v>37194.300000000003</v>
      </c>
      <c r="S15" s="38">
        <f>S13*Assumptions!$C$26</f>
        <v>37558.950000000004</v>
      </c>
      <c r="T15" s="38">
        <f>T13*Assumptions!$C$26</f>
        <v>37194.300000000003</v>
      </c>
      <c r="U15" s="38">
        <f>U13*Assumptions!$C$26</f>
        <v>36465</v>
      </c>
      <c r="V15" s="38">
        <f>V13*Assumptions!$C$26</f>
        <v>37923.599999999999</v>
      </c>
      <c r="W15" s="38">
        <f>W13*Assumptions!$C$26</f>
        <v>38288.25</v>
      </c>
      <c r="X15" s="38">
        <f>X13*Assumptions!$C$26</f>
        <v>37923.599999999999</v>
      </c>
      <c r="Y15" s="38">
        <f>Y13*Assumptions!$C$26</f>
        <v>37558.950000000004</v>
      </c>
      <c r="Z15" s="38">
        <f>Z13*Assumptions!$C$26</f>
        <v>38652.900000000009</v>
      </c>
    </row>
    <row r="16" spans="1:26" ht="15" customHeight="1" x14ac:dyDescent="0.2">
      <c r="A16" s="8" t="s">
        <v>138</v>
      </c>
      <c r="B16" s="34" t="s">
        <v>135</v>
      </c>
      <c r="C16" s="38">
        <f>C13*Assumptions!$C$27</f>
        <v>6311.25</v>
      </c>
      <c r="D16" s="38">
        <f>D13*Assumptions!$C$27</f>
        <v>8134.5</v>
      </c>
      <c r="E16" s="38">
        <f>E13*Assumptions!$C$27</f>
        <v>9537.0000000000018</v>
      </c>
      <c r="F16" s="38">
        <f>F13*Assumptions!$C$27</f>
        <v>10518.75</v>
      </c>
      <c r="G16" s="38">
        <f>G13*Assumptions!$C$27</f>
        <v>11220</v>
      </c>
      <c r="H16" s="38">
        <f>H13*Assumptions!$C$27</f>
        <v>11780.999999999998</v>
      </c>
      <c r="I16" s="38">
        <f>I13*Assumptions!$C$27</f>
        <v>12342</v>
      </c>
      <c r="J16" s="38">
        <f>J13*Assumptions!$C$27</f>
        <v>12762.750000000002</v>
      </c>
      <c r="K16" s="38">
        <f>K13*Assumptions!$C$27</f>
        <v>13183.499999999998</v>
      </c>
      <c r="L16" s="38">
        <f>L13*Assumptions!$C$27</f>
        <v>13464</v>
      </c>
      <c r="M16" s="38">
        <f>M13*Assumptions!$C$27</f>
        <v>13744.5</v>
      </c>
      <c r="N16" s="38">
        <f>N13*Assumptions!$C$27</f>
        <v>14025</v>
      </c>
      <c r="O16" s="38">
        <f>O13*Assumptions!$C$27</f>
        <v>13604.25</v>
      </c>
      <c r="P16" s="38">
        <f>P13*Assumptions!$C$27</f>
        <v>13884.75</v>
      </c>
      <c r="Q16" s="38">
        <f>Q13*Assumptions!$C$27</f>
        <v>14025</v>
      </c>
      <c r="R16" s="38">
        <f>R13*Assumptions!$C$27</f>
        <v>14305.5</v>
      </c>
      <c r="S16" s="38">
        <f>S13*Assumptions!$C$27</f>
        <v>14445.75</v>
      </c>
      <c r="T16" s="38">
        <f>T13*Assumptions!$C$27</f>
        <v>14305.5</v>
      </c>
      <c r="U16" s="38">
        <f>U13*Assumptions!$C$27</f>
        <v>14025</v>
      </c>
      <c r="V16" s="38">
        <f>V13*Assumptions!$C$27</f>
        <v>14586</v>
      </c>
      <c r="W16" s="38">
        <f>W13*Assumptions!$C$27</f>
        <v>14726.25</v>
      </c>
      <c r="X16" s="38">
        <f>X13*Assumptions!$C$27</f>
        <v>14586</v>
      </c>
      <c r="Y16" s="38">
        <f>Y13*Assumptions!$C$27</f>
        <v>14445.75</v>
      </c>
      <c r="Z16" s="38">
        <f>Z13*Assumptions!$C$27</f>
        <v>14866.500000000002</v>
      </c>
    </row>
    <row r="17" spans="1:26" ht="15" customHeight="1" x14ac:dyDescent="0.2">
      <c r="A17" s="8" t="s">
        <v>139</v>
      </c>
      <c r="B17" s="34" t="s">
        <v>135</v>
      </c>
      <c r="C17" s="38">
        <f>C13*Assumptions!$C$28</f>
        <v>2524.5</v>
      </c>
      <c r="D17" s="38">
        <f>D13*Assumptions!$C$28</f>
        <v>3253.8</v>
      </c>
      <c r="E17" s="38">
        <f>E13*Assumptions!$C$28</f>
        <v>3814.8000000000011</v>
      </c>
      <c r="F17" s="38">
        <f>F13*Assumptions!$C$28</f>
        <v>4207.5</v>
      </c>
      <c r="G17" s="38">
        <f>G13*Assumptions!$C$28</f>
        <v>4488</v>
      </c>
      <c r="H17" s="38">
        <f>H13*Assumptions!$C$28</f>
        <v>4712.3999999999996</v>
      </c>
      <c r="I17" s="38">
        <f>I13*Assumptions!$C$28</f>
        <v>4936.8</v>
      </c>
      <c r="J17" s="38">
        <f>J13*Assumptions!$C$28</f>
        <v>5105.1000000000013</v>
      </c>
      <c r="K17" s="38">
        <f>K13*Assumptions!$C$28</f>
        <v>5273.4</v>
      </c>
      <c r="L17" s="38">
        <f>L13*Assumptions!$C$28</f>
        <v>5385.6</v>
      </c>
      <c r="M17" s="38">
        <f>M13*Assumptions!$C$28</f>
        <v>5497.8</v>
      </c>
      <c r="N17" s="38">
        <f>N13*Assumptions!$C$28</f>
        <v>5610</v>
      </c>
      <c r="O17" s="38">
        <f>O13*Assumptions!$C$28</f>
        <v>5441.7000000000007</v>
      </c>
      <c r="P17" s="38">
        <f>P13*Assumptions!$C$28</f>
        <v>5553.9000000000005</v>
      </c>
      <c r="Q17" s="38">
        <f>Q13*Assumptions!$C$28</f>
        <v>5610</v>
      </c>
      <c r="R17" s="38">
        <f>R13*Assumptions!$C$28</f>
        <v>5722.2000000000007</v>
      </c>
      <c r="S17" s="38">
        <f>S13*Assumptions!$C$28</f>
        <v>5778.3</v>
      </c>
      <c r="T17" s="38">
        <f>T13*Assumptions!$C$28</f>
        <v>5722.2000000000007</v>
      </c>
      <c r="U17" s="38">
        <f>U13*Assumptions!$C$28</f>
        <v>5610</v>
      </c>
      <c r="V17" s="38">
        <f>V13*Assumptions!$C$28</f>
        <v>5834.4000000000005</v>
      </c>
      <c r="W17" s="38">
        <f>W13*Assumptions!$C$28</f>
        <v>5890.5</v>
      </c>
      <c r="X17" s="38">
        <f>X13*Assumptions!$C$28</f>
        <v>5834.4000000000005</v>
      </c>
      <c r="Y17" s="38">
        <f>Y13*Assumptions!$C$28</f>
        <v>5778.3</v>
      </c>
      <c r="Z17" s="38">
        <f>Z13*Assumptions!$C$28</f>
        <v>5946.6000000000013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50"/>
  <sheetViews>
    <sheetView showGridLines="0" zoomScaleNormal="100" workbookViewId="0"/>
  </sheetViews>
  <sheetFormatPr baseColWidth="10" defaultColWidth="8.6640625" defaultRowHeight="15" outlineLevelRow="1" x14ac:dyDescent="0.2"/>
  <cols>
    <col min="1" max="1" width="34" customWidth="1"/>
    <col min="2" max="2" width="11" customWidth="1"/>
    <col min="3" max="26" width="9.5" customWidth="1"/>
  </cols>
  <sheetData>
    <row r="2" spans="1:26" ht="17.25" customHeight="1" x14ac:dyDescent="0.2">
      <c r="A2" s="12" t="s">
        <v>140</v>
      </c>
    </row>
    <row r="3" spans="1:26" ht="15" customHeight="1" x14ac:dyDescent="0.2">
      <c r="A3" s="6" t="s">
        <v>141</v>
      </c>
    </row>
    <row r="5" spans="1:26" ht="15" customHeight="1" x14ac:dyDescent="0.2">
      <c r="A5" s="13" t="s">
        <v>142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5" customHeight="1" x14ac:dyDescent="0.2">
      <c r="A6" s="30" t="s">
        <v>123</v>
      </c>
      <c r="B6" s="31" t="s">
        <v>124</v>
      </c>
      <c r="C6" s="39">
        <f>'Revenue Build'!C6</f>
        <v>1</v>
      </c>
      <c r="D6" s="39">
        <f>'Revenue Build'!D6</f>
        <v>2</v>
      </c>
      <c r="E6" s="39">
        <f>'Revenue Build'!E6</f>
        <v>3</v>
      </c>
      <c r="F6" s="39">
        <f>'Revenue Build'!F6</f>
        <v>4</v>
      </c>
      <c r="G6" s="39">
        <f>'Revenue Build'!G6</f>
        <v>5</v>
      </c>
      <c r="H6" s="39">
        <f>'Revenue Build'!H6</f>
        <v>6</v>
      </c>
      <c r="I6" s="39">
        <f>'Revenue Build'!I6</f>
        <v>7</v>
      </c>
      <c r="J6" s="39">
        <f>'Revenue Build'!J6</f>
        <v>8</v>
      </c>
      <c r="K6" s="39">
        <f>'Revenue Build'!K6</f>
        <v>9</v>
      </c>
      <c r="L6" s="39">
        <f>'Revenue Build'!L6</f>
        <v>10</v>
      </c>
      <c r="M6" s="39">
        <f>'Revenue Build'!M6</f>
        <v>11</v>
      </c>
      <c r="N6" s="39">
        <f>'Revenue Build'!N6</f>
        <v>12</v>
      </c>
      <c r="O6" s="39">
        <f>'Revenue Build'!O6</f>
        <v>13</v>
      </c>
      <c r="P6" s="39">
        <f>'Revenue Build'!P6</f>
        <v>14</v>
      </c>
      <c r="Q6" s="39">
        <f>'Revenue Build'!Q6</f>
        <v>15</v>
      </c>
      <c r="R6" s="39">
        <f>'Revenue Build'!R6</f>
        <v>16</v>
      </c>
      <c r="S6" s="39">
        <f>'Revenue Build'!S6</f>
        <v>17</v>
      </c>
      <c r="T6" s="39">
        <f>'Revenue Build'!T6</f>
        <v>18</v>
      </c>
      <c r="U6" s="39">
        <f>'Revenue Build'!U6</f>
        <v>19</v>
      </c>
      <c r="V6" s="39">
        <f>'Revenue Build'!V6</f>
        <v>20</v>
      </c>
      <c r="W6" s="39">
        <f>'Revenue Build'!W6</f>
        <v>21</v>
      </c>
      <c r="X6" s="39">
        <f>'Revenue Build'!X6</f>
        <v>22</v>
      </c>
      <c r="Y6" s="39">
        <f>'Revenue Build'!Y6</f>
        <v>23</v>
      </c>
      <c r="Z6" s="39">
        <f>'Revenue Build'!Z6</f>
        <v>24</v>
      </c>
    </row>
    <row r="7" spans="1:26" ht="15" customHeight="1" x14ac:dyDescent="0.2">
      <c r="A7" s="30" t="s">
        <v>143</v>
      </c>
      <c r="B7" s="34" t="s">
        <v>135</v>
      </c>
      <c r="C7" s="40">
        <f>'Revenue Build'!C13</f>
        <v>25245</v>
      </c>
      <c r="D7" s="40">
        <f>'Revenue Build'!D13</f>
        <v>32538</v>
      </c>
      <c r="E7" s="40">
        <f>'Revenue Build'!E13</f>
        <v>38148.000000000007</v>
      </c>
      <c r="F7" s="40">
        <f>'Revenue Build'!F13</f>
        <v>42075</v>
      </c>
      <c r="G7" s="40">
        <f>'Revenue Build'!G13</f>
        <v>44880</v>
      </c>
      <c r="H7" s="40">
        <f>'Revenue Build'!H13</f>
        <v>47123.999999999993</v>
      </c>
      <c r="I7" s="40">
        <f>'Revenue Build'!I13</f>
        <v>49368</v>
      </c>
      <c r="J7" s="40">
        <f>'Revenue Build'!J13</f>
        <v>51051.000000000007</v>
      </c>
      <c r="K7" s="40">
        <f>'Revenue Build'!K13</f>
        <v>52733.999999999993</v>
      </c>
      <c r="L7" s="40">
        <f>'Revenue Build'!L13</f>
        <v>53856</v>
      </c>
      <c r="M7" s="40">
        <f>'Revenue Build'!M13</f>
        <v>54978</v>
      </c>
      <c r="N7" s="40">
        <f>'Revenue Build'!N13</f>
        <v>56100</v>
      </c>
      <c r="O7" s="40">
        <f>'Revenue Build'!O13</f>
        <v>54417</v>
      </c>
      <c r="P7" s="40">
        <f>'Revenue Build'!P13</f>
        <v>55539</v>
      </c>
      <c r="Q7" s="40">
        <f>'Revenue Build'!Q13</f>
        <v>56100</v>
      </c>
      <c r="R7" s="40">
        <f>'Revenue Build'!R13</f>
        <v>57222</v>
      </c>
      <c r="S7" s="40">
        <f>'Revenue Build'!S13</f>
        <v>57783</v>
      </c>
      <c r="T7" s="40">
        <f>'Revenue Build'!T13</f>
        <v>57222</v>
      </c>
      <c r="U7" s="40">
        <f>'Revenue Build'!U13</f>
        <v>56100</v>
      </c>
      <c r="V7" s="40">
        <f>'Revenue Build'!V13</f>
        <v>58344</v>
      </c>
      <c r="W7" s="40">
        <f>'Revenue Build'!W13</f>
        <v>58905</v>
      </c>
      <c r="X7" s="40">
        <f>'Revenue Build'!X13</f>
        <v>58344</v>
      </c>
      <c r="Y7" s="40">
        <f>'Revenue Build'!Y13</f>
        <v>57783</v>
      </c>
      <c r="Z7" s="40">
        <f>'Revenue Build'!Z13</f>
        <v>59466.000000000007</v>
      </c>
    </row>
    <row r="8" spans="1:26" ht="15" customHeight="1" x14ac:dyDescent="0.2">
      <c r="A8" s="41" t="s">
        <v>65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15" customHeight="1" x14ac:dyDescent="0.2">
      <c r="A9" s="8" t="s">
        <v>144</v>
      </c>
      <c r="B9" s="34" t="s">
        <v>135</v>
      </c>
      <c r="C9" s="38">
        <f>C7*Assumptions!$C$37</f>
        <v>7194.8250000000007</v>
      </c>
      <c r="D9" s="38">
        <f>D7*Assumptions!$C$37</f>
        <v>9273.3300000000017</v>
      </c>
      <c r="E9" s="38">
        <f>E7*Assumptions!$C$37</f>
        <v>10872.180000000004</v>
      </c>
      <c r="F9" s="38">
        <f>F7*Assumptions!$C$37</f>
        <v>11991.375000000002</v>
      </c>
      <c r="G9" s="38">
        <f>G7*Assumptions!$C$37</f>
        <v>12790.800000000001</v>
      </c>
      <c r="H9" s="38">
        <f>H7*Assumptions!$C$37</f>
        <v>13430.34</v>
      </c>
      <c r="I9" s="38">
        <f>I7*Assumptions!$C$37</f>
        <v>14069.880000000001</v>
      </c>
      <c r="J9" s="38">
        <f>J7*Assumptions!$C$37</f>
        <v>14549.535000000003</v>
      </c>
      <c r="K9" s="38">
        <f>K7*Assumptions!$C$37</f>
        <v>15029.189999999999</v>
      </c>
      <c r="L9" s="38">
        <f>L7*Assumptions!$C$37</f>
        <v>15348.960000000001</v>
      </c>
      <c r="M9" s="38">
        <f>M7*Assumptions!$C$37</f>
        <v>15668.730000000001</v>
      </c>
      <c r="N9" s="38">
        <f>N7*Assumptions!$C$37</f>
        <v>15988.500000000002</v>
      </c>
      <c r="O9" s="38">
        <f>O7*Assumptions!$C$37</f>
        <v>15508.845000000001</v>
      </c>
      <c r="P9" s="38">
        <f>P7*Assumptions!$C$37</f>
        <v>15828.615000000002</v>
      </c>
      <c r="Q9" s="38">
        <f>Q7*Assumptions!$C$37</f>
        <v>15988.500000000002</v>
      </c>
      <c r="R9" s="38">
        <f>R7*Assumptions!$C$37</f>
        <v>16308.270000000002</v>
      </c>
      <c r="S9" s="38">
        <f>S7*Assumptions!$C$37</f>
        <v>16468.155000000002</v>
      </c>
      <c r="T9" s="38">
        <f>T7*Assumptions!$C$37</f>
        <v>16308.270000000002</v>
      </c>
      <c r="U9" s="38">
        <f>U7*Assumptions!$C$37</f>
        <v>15988.500000000002</v>
      </c>
      <c r="V9" s="38">
        <f>V7*Assumptions!$C$37</f>
        <v>16628.04</v>
      </c>
      <c r="W9" s="38">
        <f>W7*Assumptions!$C$37</f>
        <v>16787.925000000003</v>
      </c>
      <c r="X9" s="38">
        <f>X7*Assumptions!$C$37</f>
        <v>16628.04</v>
      </c>
      <c r="Y9" s="38">
        <f>Y7*Assumptions!$C$37</f>
        <v>16468.155000000002</v>
      </c>
      <c r="Z9" s="38">
        <f>Z7*Assumptions!$C$37</f>
        <v>16947.810000000005</v>
      </c>
    </row>
    <row r="10" spans="1:26" ht="15" customHeight="1" x14ac:dyDescent="0.2">
      <c r="A10" s="8" t="s">
        <v>145</v>
      </c>
      <c r="B10" s="34" t="s">
        <v>135</v>
      </c>
      <c r="C10" s="38">
        <f>C7*Assumptions!$C$36</f>
        <v>1262.25</v>
      </c>
      <c r="D10" s="38">
        <f>D7*Assumptions!$C$36</f>
        <v>1626.9</v>
      </c>
      <c r="E10" s="38">
        <f>E7*Assumptions!$C$36</f>
        <v>1907.4000000000005</v>
      </c>
      <c r="F10" s="38">
        <f>F7*Assumptions!$C$36</f>
        <v>2103.75</v>
      </c>
      <c r="G10" s="38">
        <f>G7*Assumptions!$C$36</f>
        <v>2244</v>
      </c>
      <c r="H10" s="38">
        <f>H7*Assumptions!$C$36</f>
        <v>2356.1999999999998</v>
      </c>
      <c r="I10" s="38">
        <f>I7*Assumptions!$C$36</f>
        <v>2468.4</v>
      </c>
      <c r="J10" s="38">
        <f>J7*Assumptions!$C$36</f>
        <v>2552.5500000000006</v>
      </c>
      <c r="K10" s="38">
        <f>K7*Assumptions!$C$36</f>
        <v>2636.7</v>
      </c>
      <c r="L10" s="38">
        <f>L7*Assumptions!$C$36</f>
        <v>2692.8</v>
      </c>
      <c r="M10" s="38">
        <f>M7*Assumptions!$C$36</f>
        <v>2748.9</v>
      </c>
      <c r="N10" s="38">
        <f>N7*Assumptions!$C$36</f>
        <v>2805</v>
      </c>
      <c r="O10" s="38">
        <f>O7*Assumptions!$C$36</f>
        <v>2720.8500000000004</v>
      </c>
      <c r="P10" s="38">
        <f>P7*Assumptions!$C$36</f>
        <v>2776.9500000000003</v>
      </c>
      <c r="Q10" s="38">
        <f>Q7*Assumptions!$C$36</f>
        <v>2805</v>
      </c>
      <c r="R10" s="38">
        <f>R7*Assumptions!$C$36</f>
        <v>2861.1000000000004</v>
      </c>
      <c r="S10" s="38">
        <f>S7*Assumptions!$C$36</f>
        <v>2889.15</v>
      </c>
      <c r="T10" s="38">
        <f>T7*Assumptions!$C$36</f>
        <v>2861.1000000000004</v>
      </c>
      <c r="U10" s="38">
        <f>U7*Assumptions!$C$36</f>
        <v>2805</v>
      </c>
      <c r="V10" s="38">
        <f>V7*Assumptions!$C$36</f>
        <v>2917.2000000000003</v>
      </c>
      <c r="W10" s="38">
        <f>W7*Assumptions!$C$36</f>
        <v>2945.25</v>
      </c>
      <c r="X10" s="38">
        <f>X7*Assumptions!$C$36</f>
        <v>2917.2000000000003</v>
      </c>
      <c r="Y10" s="38">
        <f>Y7*Assumptions!$C$36</f>
        <v>2889.15</v>
      </c>
      <c r="Z10" s="38">
        <f>Z7*Assumptions!$C$36</f>
        <v>2973.3000000000006</v>
      </c>
    </row>
    <row r="11" spans="1:26" ht="15" customHeight="1" x14ac:dyDescent="0.2">
      <c r="A11" s="30" t="s">
        <v>146</v>
      </c>
      <c r="B11" s="34" t="s">
        <v>135</v>
      </c>
      <c r="C11" s="43">
        <f t="shared" ref="C11:Z11" si="0">C9+C10</f>
        <v>8457.0750000000007</v>
      </c>
      <c r="D11" s="43">
        <f t="shared" si="0"/>
        <v>10900.230000000001</v>
      </c>
      <c r="E11" s="43">
        <f t="shared" si="0"/>
        <v>12779.580000000005</v>
      </c>
      <c r="F11" s="43">
        <f t="shared" si="0"/>
        <v>14095.125000000002</v>
      </c>
      <c r="G11" s="43">
        <f t="shared" si="0"/>
        <v>15034.800000000001</v>
      </c>
      <c r="H11" s="43">
        <f t="shared" si="0"/>
        <v>15786.54</v>
      </c>
      <c r="I11" s="43">
        <f t="shared" si="0"/>
        <v>16538.280000000002</v>
      </c>
      <c r="J11" s="43">
        <f t="shared" si="0"/>
        <v>17102.085000000003</v>
      </c>
      <c r="K11" s="43">
        <f t="shared" si="0"/>
        <v>17665.89</v>
      </c>
      <c r="L11" s="43">
        <f t="shared" si="0"/>
        <v>18041.760000000002</v>
      </c>
      <c r="M11" s="43">
        <f t="shared" si="0"/>
        <v>18417.63</v>
      </c>
      <c r="N11" s="43">
        <f t="shared" si="0"/>
        <v>18793.5</v>
      </c>
      <c r="O11" s="43">
        <f t="shared" si="0"/>
        <v>18229.695</v>
      </c>
      <c r="P11" s="43">
        <f t="shared" si="0"/>
        <v>18605.565000000002</v>
      </c>
      <c r="Q11" s="43">
        <f t="shared" si="0"/>
        <v>18793.5</v>
      </c>
      <c r="R11" s="43">
        <f t="shared" si="0"/>
        <v>19169.370000000003</v>
      </c>
      <c r="S11" s="43">
        <f t="shared" si="0"/>
        <v>19357.305000000004</v>
      </c>
      <c r="T11" s="43">
        <f t="shared" si="0"/>
        <v>19169.370000000003</v>
      </c>
      <c r="U11" s="43">
        <f t="shared" si="0"/>
        <v>18793.5</v>
      </c>
      <c r="V11" s="43">
        <f t="shared" si="0"/>
        <v>19545.240000000002</v>
      </c>
      <c r="W11" s="43">
        <f t="shared" si="0"/>
        <v>19733.175000000003</v>
      </c>
      <c r="X11" s="43">
        <f t="shared" si="0"/>
        <v>19545.240000000002</v>
      </c>
      <c r="Y11" s="43">
        <f t="shared" si="0"/>
        <v>19357.305000000004</v>
      </c>
      <c r="Z11" s="43">
        <f t="shared" si="0"/>
        <v>19921.110000000004</v>
      </c>
    </row>
    <row r="12" spans="1:26" ht="15" customHeight="1" x14ac:dyDescent="0.2">
      <c r="A12" s="30" t="s">
        <v>147</v>
      </c>
      <c r="B12" s="34" t="s">
        <v>135</v>
      </c>
      <c r="C12" s="43">
        <f t="shared" ref="C12:Z12" si="1">C7-C11</f>
        <v>16787.924999999999</v>
      </c>
      <c r="D12" s="43">
        <f t="shared" si="1"/>
        <v>21637.769999999997</v>
      </c>
      <c r="E12" s="43">
        <f t="shared" si="1"/>
        <v>25368.420000000002</v>
      </c>
      <c r="F12" s="43">
        <f t="shared" si="1"/>
        <v>27979.875</v>
      </c>
      <c r="G12" s="43">
        <f t="shared" si="1"/>
        <v>29845.199999999997</v>
      </c>
      <c r="H12" s="43">
        <f t="shared" si="1"/>
        <v>31337.459999999992</v>
      </c>
      <c r="I12" s="43">
        <f t="shared" si="1"/>
        <v>32829.72</v>
      </c>
      <c r="J12" s="43">
        <f t="shared" si="1"/>
        <v>33948.915000000008</v>
      </c>
      <c r="K12" s="43">
        <f t="shared" si="1"/>
        <v>35068.109999999993</v>
      </c>
      <c r="L12" s="43">
        <f t="shared" si="1"/>
        <v>35814.239999999998</v>
      </c>
      <c r="M12" s="43">
        <f t="shared" si="1"/>
        <v>36560.369999999995</v>
      </c>
      <c r="N12" s="43">
        <f t="shared" si="1"/>
        <v>37306.5</v>
      </c>
      <c r="O12" s="43">
        <f t="shared" si="1"/>
        <v>36187.305</v>
      </c>
      <c r="P12" s="43">
        <f t="shared" si="1"/>
        <v>36933.434999999998</v>
      </c>
      <c r="Q12" s="43">
        <f t="shared" si="1"/>
        <v>37306.5</v>
      </c>
      <c r="R12" s="43">
        <f t="shared" si="1"/>
        <v>38052.629999999997</v>
      </c>
      <c r="S12" s="43">
        <f t="shared" si="1"/>
        <v>38425.694999999992</v>
      </c>
      <c r="T12" s="43">
        <f t="shared" si="1"/>
        <v>38052.629999999997</v>
      </c>
      <c r="U12" s="43">
        <f t="shared" si="1"/>
        <v>37306.5</v>
      </c>
      <c r="V12" s="43">
        <f t="shared" si="1"/>
        <v>38798.759999999995</v>
      </c>
      <c r="W12" s="43">
        <f t="shared" si="1"/>
        <v>39171.824999999997</v>
      </c>
      <c r="X12" s="43">
        <f t="shared" si="1"/>
        <v>38798.759999999995</v>
      </c>
      <c r="Y12" s="43">
        <f t="shared" si="1"/>
        <v>38425.694999999992</v>
      </c>
      <c r="Z12" s="43">
        <f t="shared" si="1"/>
        <v>39544.89</v>
      </c>
    </row>
    <row r="13" spans="1:26" ht="15" customHeight="1" x14ac:dyDescent="0.2">
      <c r="A13" s="8" t="s">
        <v>148</v>
      </c>
      <c r="B13" s="34" t="s">
        <v>127</v>
      </c>
      <c r="C13" s="44">
        <f t="shared" ref="C13:Z13" si="2">IF(C7=0,0,C12/C7)</f>
        <v>0.66499999999999992</v>
      </c>
      <c r="D13" s="44">
        <f t="shared" si="2"/>
        <v>0.66499999999999992</v>
      </c>
      <c r="E13" s="44">
        <f t="shared" si="2"/>
        <v>0.66499999999999992</v>
      </c>
      <c r="F13" s="44">
        <f t="shared" si="2"/>
        <v>0.66500000000000004</v>
      </c>
      <c r="G13" s="44">
        <f t="shared" si="2"/>
        <v>0.66499999999999992</v>
      </c>
      <c r="H13" s="44">
        <f t="shared" si="2"/>
        <v>0.66499999999999992</v>
      </c>
      <c r="I13" s="44">
        <f t="shared" si="2"/>
        <v>0.66500000000000004</v>
      </c>
      <c r="J13" s="44">
        <f t="shared" si="2"/>
        <v>0.66500000000000004</v>
      </c>
      <c r="K13" s="44">
        <f t="shared" si="2"/>
        <v>0.66499999999999992</v>
      </c>
      <c r="L13" s="44">
        <f t="shared" si="2"/>
        <v>0.66499999999999992</v>
      </c>
      <c r="M13" s="44">
        <f t="shared" si="2"/>
        <v>0.66499999999999992</v>
      </c>
      <c r="N13" s="44">
        <f t="shared" si="2"/>
        <v>0.66500000000000004</v>
      </c>
      <c r="O13" s="44">
        <f t="shared" si="2"/>
        <v>0.66500000000000004</v>
      </c>
      <c r="P13" s="44">
        <f t="shared" si="2"/>
        <v>0.66499999999999992</v>
      </c>
      <c r="Q13" s="44">
        <f t="shared" si="2"/>
        <v>0.66500000000000004</v>
      </c>
      <c r="R13" s="44">
        <f t="shared" si="2"/>
        <v>0.66499999999999992</v>
      </c>
      <c r="S13" s="44">
        <f t="shared" si="2"/>
        <v>0.66499999999999992</v>
      </c>
      <c r="T13" s="44">
        <f t="shared" si="2"/>
        <v>0.66499999999999992</v>
      </c>
      <c r="U13" s="44">
        <f t="shared" si="2"/>
        <v>0.66500000000000004</v>
      </c>
      <c r="V13" s="44">
        <f t="shared" si="2"/>
        <v>0.66499999999999992</v>
      </c>
      <c r="W13" s="44">
        <f t="shared" si="2"/>
        <v>0.66499999999999992</v>
      </c>
      <c r="X13" s="44">
        <f t="shared" si="2"/>
        <v>0.66499999999999992</v>
      </c>
      <c r="Y13" s="44">
        <f t="shared" si="2"/>
        <v>0.66499999999999992</v>
      </c>
      <c r="Z13" s="44">
        <f t="shared" si="2"/>
        <v>0.66499999999999992</v>
      </c>
    </row>
    <row r="14" spans="1:26" ht="15" customHeight="1" x14ac:dyDescent="0.2">
      <c r="A14" s="41" t="s">
        <v>149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ht="15" customHeight="1" x14ac:dyDescent="0.2">
      <c r="A15" s="8" t="s">
        <v>150</v>
      </c>
      <c r="B15" s="34" t="s">
        <v>151</v>
      </c>
      <c r="C15" s="33">
        <f>Assumptions!$C$41*MAX('Revenue Build'!C8,Assumptions!$C$43)*(52/12)</f>
        <v>747.5</v>
      </c>
      <c r="D15" s="33">
        <f>Assumptions!$C$41*MAX('Revenue Build'!D8,Assumptions!$C$43)*(52/12)</f>
        <v>747.5</v>
      </c>
      <c r="E15" s="33">
        <f>Assumptions!$C$41*MAX('Revenue Build'!E8,Assumptions!$C$43)*(52/12)</f>
        <v>747.5</v>
      </c>
      <c r="F15" s="33">
        <f>Assumptions!$C$41*MAX('Revenue Build'!F8,Assumptions!$C$43)*(52/12)</f>
        <v>747.5</v>
      </c>
      <c r="G15" s="33">
        <f>Assumptions!$C$41*MAX('Revenue Build'!G8,Assumptions!$C$43)*(52/12)</f>
        <v>797.33333333333326</v>
      </c>
      <c r="H15" s="33">
        <f>Assumptions!$C$41*MAX('Revenue Build'!H8,Assumptions!$C$43)*(52/12)</f>
        <v>837.19999999999993</v>
      </c>
      <c r="I15" s="33">
        <f>Assumptions!$C$41*MAX('Revenue Build'!I8,Assumptions!$C$43)*(52/12)</f>
        <v>877.06666666666661</v>
      </c>
      <c r="J15" s="33">
        <f>Assumptions!$C$41*MAX('Revenue Build'!J8,Assumptions!$C$43)*(52/12)</f>
        <v>906.9666666666667</v>
      </c>
      <c r="K15" s="33">
        <f>Assumptions!$C$41*MAX('Revenue Build'!K8,Assumptions!$C$43)*(52/12)</f>
        <v>936.86666666666656</v>
      </c>
      <c r="L15" s="33">
        <f>Assumptions!$C$41*MAX('Revenue Build'!L8,Assumptions!$C$43)*(52/12)</f>
        <v>956.79999999999984</v>
      </c>
      <c r="M15" s="33">
        <f>Assumptions!$C$41*MAX('Revenue Build'!M8,Assumptions!$C$43)*(52/12)</f>
        <v>976.73333333333323</v>
      </c>
      <c r="N15" s="33">
        <f>Assumptions!$C$41*MAX('Revenue Build'!N8,Assumptions!$C$43)*(52/12)</f>
        <v>996.66666666666663</v>
      </c>
      <c r="O15" s="33">
        <f>Assumptions!$C$41*MAX('Revenue Build'!O8,Assumptions!$C$43)*(52/12)</f>
        <v>966.76666666666654</v>
      </c>
      <c r="P15" s="33">
        <f>Assumptions!$C$41*MAX('Revenue Build'!P8,Assumptions!$C$43)*(52/12)</f>
        <v>986.69999999999993</v>
      </c>
      <c r="Q15" s="33">
        <f>Assumptions!$C$41*MAX('Revenue Build'!Q8,Assumptions!$C$43)*(52/12)</f>
        <v>996.66666666666663</v>
      </c>
      <c r="R15" s="33">
        <f>Assumptions!$C$41*MAX('Revenue Build'!R8,Assumptions!$C$43)*(52/12)</f>
        <v>1016.5999999999999</v>
      </c>
      <c r="S15" s="33">
        <f>Assumptions!$C$41*MAX('Revenue Build'!S8,Assumptions!$C$43)*(52/12)</f>
        <v>1026.5666666666666</v>
      </c>
      <c r="T15" s="33">
        <f>Assumptions!$C$41*MAX('Revenue Build'!T8,Assumptions!$C$43)*(52/12)</f>
        <v>1016.5999999999999</v>
      </c>
      <c r="U15" s="33">
        <f>Assumptions!$C$41*MAX('Revenue Build'!U8,Assumptions!$C$43)*(52/12)</f>
        <v>996.66666666666663</v>
      </c>
      <c r="V15" s="33">
        <f>Assumptions!$C$41*MAX('Revenue Build'!V8,Assumptions!$C$43)*(52/12)</f>
        <v>1036.5333333333333</v>
      </c>
      <c r="W15" s="33">
        <f>Assumptions!$C$41*MAX('Revenue Build'!W8,Assumptions!$C$43)*(52/12)</f>
        <v>1046.5</v>
      </c>
      <c r="X15" s="33">
        <f>Assumptions!$C$41*MAX('Revenue Build'!X8,Assumptions!$C$43)*(52/12)</f>
        <v>1036.5333333333333</v>
      </c>
      <c r="Y15" s="33">
        <f>Assumptions!$C$41*MAX('Revenue Build'!Y8,Assumptions!$C$43)*(52/12)</f>
        <v>1026.5666666666666</v>
      </c>
      <c r="Z15" s="33">
        <f>Assumptions!$C$41*MAX('Revenue Build'!Z8,Assumptions!$C$43)*(52/12)</f>
        <v>1056.4666666666667</v>
      </c>
    </row>
    <row r="16" spans="1:26" ht="15" customHeight="1" x14ac:dyDescent="0.2">
      <c r="A16" s="8" t="s">
        <v>152</v>
      </c>
      <c r="B16" s="34" t="s">
        <v>135</v>
      </c>
      <c r="C16" s="38">
        <f>C15*Assumptions!$C$42*(1+Assumptions!$C$44)</f>
        <v>15338.700000000003</v>
      </c>
      <c r="D16" s="38">
        <f>D15*Assumptions!$C$42*(1+Assumptions!$C$44)</f>
        <v>15338.700000000003</v>
      </c>
      <c r="E16" s="38">
        <f>E15*Assumptions!$C$42*(1+Assumptions!$C$44)</f>
        <v>15338.700000000003</v>
      </c>
      <c r="F16" s="38">
        <f>F15*Assumptions!$C$42*(1+Assumptions!$C$44)</f>
        <v>15338.700000000003</v>
      </c>
      <c r="G16" s="38">
        <f>G15*Assumptions!$C$42*(1+Assumptions!$C$44)</f>
        <v>16361.279999999999</v>
      </c>
      <c r="H16" s="38">
        <f>H15*Assumptions!$C$42*(1+Assumptions!$C$44)</f>
        <v>17179.344000000001</v>
      </c>
      <c r="I16" s="38">
        <f>I15*Assumptions!$C$42*(1+Assumptions!$C$44)</f>
        <v>17997.407999999999</v>
      </c>
      <c r="J16" s="38">
        <f>J15*Assumptions!$C$42*(1+Assumptions!$C$44)</f>
        <v>18610.956000000002</v>
      </c>
      <c r="K16" s="38">
        <f>K15*Assumptions!$C$42*(1+Assumptions!$C$44)</f>
        <v>19224.504000000001</v>
      </c>
      <c r="L16" s="38">
        <f>L15*Assumptions!$C$42*(1+Assumptions!$C$44)</f>
        <v>19633.536</v>
      </c>
      <c r="M16" s="38">
        <f>M15*Assumptions!$C$42*(1+Assumptions!$C$44)</f>
        <v>20042.567999999999</v>
      </c>
      <c r="N16" s="38">
        <f>N15*Assumptions!$C$42*(1+Assumptions!$C$44)</f>
        <v>20451.600000000002</v>
      </c>
      <c r="O16" s="38">
        <f>O15*Assumptions!$C$42*(1+Assumptions!$C$44)</f>
        <v>19838.052</v>
      </c>
      <c r="P16" s="38">
        <f>P15*Assumptions!$C$42*(1+Assumptions!$C$44)</f>
        <v>20247.083999999999</v>
      </c>
      <c r="Q16" s="38">
        <f>Q15*Assumptions!$C$42*(1+Assumptions!$C$44)</f>
        <v>20451.600000000002</v>
      </c>
      <c r="R16" s="38">
        <f>R15*Assumptions!$C$42*(1+Assumptions!$C$44)</f>
        <v>20860.632000000001</v>
      </c>
      <c r="S16" s="38">
        <f>S15*Assumptions!$C$42*(1+Assumptions!$C$44)</f>
        <v>21065.147999999997</v>
      </c>
      <c r="T16" s="38">
        <f>T15*Assumptions!$C$42*(1+Assumptions!$C$44)</f>
        <v>20860.632000000001</v>
      </c>
      <c r="U16" s="38">
        <f>U15*Assumptions!$C$42*(1+Assumptions!$C$44)</f>
        <v>20451.600000000002</v>
      </c>
      <c r="V16" s="38">
        <f>V15*Assumptions!$C$42*(1+Assumptions!$C$44)</f>
        <v>21269.664000000001</v>
      </c>
      <c r="W16" s="38">
        <f>W15*Assumptions!$C$42*(1+Assumptions!$C$44)</f>
        <v>21474.180000000004</v>
      </c>
      <c r="X16" s="38">
        <f>X15*Assumptions!$C$42*(1+Assumptions!$C$44)</f>
        <v>21269.664000000001</v>
      </c>
      <c r="Y16" s="38">
        <f>Y15*Assumptions!$C$42*(1+Assumptions!$C$44)</f>
        <v>21065.147999999997</v>
      </c>
      <c r="Z16" s="38">
        <f>Z15*Assumptions!$C$42*(1+Assumptions!$C$44)</f>
        <v>21678.696000000004</v>
      </c>
    </row>
    <row r="17" spans="1:26" ht="15" customHeight="1" x14ac:dyDescent="0.2">
      <c r="A17" s="8" t="s">
        <v>153</v>
      </c>
      <c r="B17" s="34" t="s">
        <v>135</v>
      </c>
      <c r="C17" s="38">
        <f>Assumptions!$C$45/12</f>
        <v>0</v>
      </c>
      <c r="D17" s="38">
        <f>Assumptions!$C$45/12</f>
        <v>0</v>
      </c>
      <c r="E17" s="38">
        <f>Assumptions!$C$45/12</f>
        <v>0</v>
      </c>
      <c r="F17" s="38">
        <f>Assumptions!$C$45/12</f>
        <v>0</v>
      </c>
      <c r="G17" s="38">
        <f>Assumptions!$C$45/12</f>
        <v>0</v>
      </c>
      <c r="H17" s="38">
        <f>Assumptions!$C$45/12</f>
        <v>0</v>
      </c>
      <c r="I17" s="38">
        <f>Assumptions!$C$45/12</f>
        <v>0</v>
      </c>
      <c r="J17" s="38">
        <f>Assumptions!$C$45/12</f>
        <v>0</v>
      </c>
      <c r="K17" s="38">
        <f>Assumptions!$C$45/12</f>
        <v>0</v>
      </c>
      <c r="L17" s="38">
        <f>Assumptions!$C$45/12</f>
        <v>0</v>
      </c>
      <c r="M17" s="38">
        <f>Assumptions!$C$45/12</f>
        <v>0</v>
      </c>
      <c r="N17" s="38">
        <f>Assumptions!$C$45/12</f>
        <v>0</v>
      </c>
      <c r="O17" s="38">
        <f>Assumptions!$C$45/12</f>
        <v>0</v>
      </c>
      <c r="P17" s="38">
        <f>Assumptions!$C$45/12</f>
        <v>0</v>
      </c>
      <c r="Q17" s="38">
        <f>Assumptions!$C$45/12</f>
        <v>0</v>
      </c>
      <c r="R17" s="38">
        <f>Assumptions!$C$45/12</f>
        <v>0</v>
      </c>
      <c r="S17" s="38">
        <f>Assumptions!$C$45/12</f>
        <v>0</v>
      </c>
      <c r="T17" s="38">
        <f>Assumptions!$C$45/12</f>
        <v>0</v>
      </c>
      <c r="U17" s="38">
        <f>Assumptions!$C$45/12</f>
        <v>0</v>
      </c>
      <c r="V17" s="38">
        <f>Assumptions!$C$45/12</f>
        <v>0</v>
      </c>
      <c r="W17" s="38">
        <f>Assumptions!$C$45/12</f>
        <v>0</v>
      </c>
      <c r="X17" s="38">
        <f>Assumptions!$C$45/12</f>
        <v>0</v>
      </c>
      <c r="Y17" s="38">
        <f>Assumptions!$C$45/12</f>
        <v>0</v>
      </c>
      <c r="Z17" s="38">
        <f>Assumptions!$C$45/12</f>
        <v>0</v>
      </c>
    </row>
    <row r="18" spans="1:26" ht="15" customHeight="1" x14ac:dyDescent="0.2">
      <c r="A18" s="30" t="s">
        <v>154</v>
      </c>
      <c r="B18" s="34" t="s">
        <v>135</v>
      </c>
      <c r="C18" s="43">
        <f t="shared" ref="C18:Z18" si="3">C16+C17</f>
        <v>15338.700000000003</v>
      </c>
      <c r="D18" s="43">
        <f t="shared" si="3"/>
        <v>15338.700000000003</v>
      </c>
      <c r="E18" s="43">
        <f t="shared" si="3"/>
        <v>15338.700000000003</v>
      </c>
      <c r="F18" s="43">
        <f t="shared" si="3"/>
        <v>15338.700000000003</v>
      </c>
      <c r="G18" s="43">
        <f t="shared" si="3"/>
        <v>16361.279999999999</v>
      </c>
      <c r="H18" s="43">
        <f t="shared" si="3"/>
        <v>17179.344000000001</v>
      </c>
      <c r="I18" s="43">
        <f t="shared" si="3"/>
        <v>17997.407999999999</v>
      </c>
      <c r="J18" s="43">
        <f t="shared" si="3"/>
        <v>18610.956000000002</v>
      </c>
      <c r="K18" s="43">
        <f t="shared" si="3"/>
        <v>19224.504000000001</v>
      </c>
      <c r="L18" s="43">
        <f t="shared" si="3"/>
        <v>19633.536</v>
      </c>
      <c r="M18" s="43">
        <f t="shared" si="3"/>
        <v>20042.567999999999</v>
      </c>
      <c r="N18" s="43">
        <f t="shared" si="3"/>
        <v>20451.600000000002</v>
      </c>
      <c r="O18" s="43">
        <f t="shared" si="3"/>
        <v>19838.052</v>
      </c>
      <c r="P18" s="43">
        <f t="shared" si="3"/>
        <v>20247.083999999999</v>
      </c>
      <c r="Q18" s="43">
        <f t="shared" si="3"/>
        <v>20451.600000000002</v>
      </c>
      <c r="R18" s="43">
        <f t="shared" si="3"/>
        <v>20860.632000000001</v>
      </c>
      <c r="S18" s="43">
        <f t="shared" si="3"/>
        <v>21065.147999999997</v>
      </c>
      <c r="T18" s="43">
        <f t="shared" si="3"/>
        <v>20860.632000000001</v>
      </c>
      <c r="U18" s="43">
        <f t="shared" si="3"/>
        <v>20451.600000000002</v>
      </c>
      <c r="V18" s="43">
        <f t="shared" si="3"/>
        <v>21269.664000000001</v>
      </c>
      <c r="W18" s="43">
        <f t="shared" si="3"/>
        <v>21474.180000000004</v>
      </c>
      <c r="X18" s="43">
        <f t="shared" si="3"/>
        <v>21269.664000000001</v>
      </c>
      <c r="Y18" s="43">
        <f t="shared" si="3"/>
        <v>21065.147999999997</v>
      </c>
      <c r="Z18" s="43">
        <f t="shared" si="3"/>
        <v>21678.696000000004</v>
      </c>
    </row>
    <row r="19" spans="1:26" ht="15" customHeight="1" x14ac:dyDescent="0.2">
      <c r="A19" s="8" t="s">
        <v>155</v>
      </c>
      <c r="B19" s="34" t="s">
        <v>127</v>
      </c>
      <c r="C19" s="44">
        <f t="shared" ref="C19:Z19" si="4">IF(C7=0,0,C18/C7)</f>
        <v>0.6075935828877006</v>
      </c>
      <c r="D19" s="44">
        <f t="shared" si="4"/>
        <v>0.47140881430942289</v>
      </c>
      <c r="E19" s="44">
        <f t="shared" si="4"/>
        <v>0.40208398867568418</v>
      </c>
      <c r="F19" s="44">
        <f t="shared" si="4"/>
        <v>0.3645561497326204</v>
      </c>
      <c r="G19" s="44">
        <f t="shared" si="4"/>
        <v>0.36455614973262029</v>
      </c>
      <c r="H19" s="44">
        <f t="shared" si="4"/>
        <v>0.3645561497326204</v>
      </c>
      <c r="I19" s="44">
        <f t="shared" si="4"/>
        <v>0.36455614973262029</v>
      </c>
      <c r="J19" s="44">
        <f t="shared" si="4"/>
        <v>0.36455614973262029</v>
      </c>
      <c r="K19" s="44">
        <f t="shared" si="4"/>
        <v>0.3645561497326204</v>
      </c>
      <c r="L19" s="44">
        <f t="shared" si="4"/>
        <v>0.36455614973262035</v>
      </c>
      <c r="M19" s="44">
        <f t="shared" si="4"/>
        <v>0.36455614973262029</v>
      </c>
      <c r="N19" s="44">
        <f t="shared" si="4"/>
        <v>0.36455614973262035</v>
      </c>
      <c r="O19" s="44">
        <f t="shared" si="4"/>
        <v>0.36455614973262029</v>
      </c>
      <c r="P19" s="44">
        <f t="shared" si="4"/>
        <v>0.36455614973262029</v>
      </c>
      <c r="Q19" s="44">
        <f t="shared" si="4"/>
        <v>0.36455614973262035</v>
      </c>
      <c r="R19" s="44">
        <f t="shared" si="4"/>
        <v>0.36455614973262035</v>
      </c>
      <c r="S19" s="44">
        <f t="shared" si="4"/>
        <v>0.36455614973262029</v>
      </c>
      <c r="T19" s="44">
        <f t="shared" si="4"/>
        <v>0.36455614973262035</v>
      </c>
      <c r="U19" s="44">
        <f t="shared" si="4"/>
        <v>0.36455614973262035</v>
      </c>
      <c r="V19" s="44">
        <f t="shared" si="4"/>
        <v>0.36455614973262035</v>
      </c>
      <c r="W19" s="44">
        <f t="shared" si="4"/>
        <v>0.3645561497326204</v>
      </c>
      <c r="X19" s="44">
        <f t="shared" si="4"/>
        <v>0.36455614973262035</v>
      </c>
      <c r="Y19" s="44">
        <f t="shared" si="4"/>
        <v>0.36455614973262029</v>
      </c>
      <c r="Z19" s="44">
        <f t="shared" si="4"/>
        <v>0.36455614973262035</v>
      </c>
    </row>
    <row r="20" spans="1:26" ht="15" customHeight="1" x14ac:dyDescent="0.2">
      <c r="A20" s="30" t="s">
        <v>156</v>
      </c>
      <c r="B20" s="34" t="s">
        <v>135</v>
      </c>
      <c r="C20" s="37">
        <f t="shared" ref="C20:Z20" si="5">C11+C18</f>
        <v>23795.775000000001</v>
      </c>
      <c r="D20" s="37">
        <f t="shared" si="5"/>
        <v>26238.930000000004</v>
      </c>
      <c r="E20" s="37">
        <f t="shared" si="5"/>
        <v>28118.280000000006</v>
      </c>
      <c r="F20" s="37">
        <f t="shared" si="5"/>
        <v>29433.825000000004</v>
      </c>
      <c r="G20" s="37">
        <f t="shared" si="5"/>
        <v>31396.080000000002</v>
      </c>
      <c r="H20" s="37">
        <f t="shared" si="5"/>
        <v>32965.884000000005</v>
      </c>
      <c r="I20" s="37">
        <f t="shared" si="5"/>
        <v>34535.688000000002</v>
      </c>
      <c r="J20" s="37">
        <f t="shared" si="5"/>
        <v>35713.041000000005</v>
      </c>
      <c r="K20" s="37">
        <f t="shared" si="5"/>
        <v>36890.394</v>
      </c>
      <c r="L20" s="37">
        <f t="shared" si="5"/>
        <v>37675.296000000002</v>
      </c>
      <c r="M20" s="37">
        <f t="shared" si="5"/>
        <v>38460.198000000004</v>
      </c>
      <c r="N20" s="37">
        <f t="shared" si="5"/>
        <v>39245.100000000006</v>
      </c>
      <c r="O20" s="37">
        <f t="shared" si="5"/>
        <v>38067.747000000003</v>
      </c>
      <c r="P20" s="37">
        <f t="shared" si="5"/>
        <v>38852.649000000005</v>
      </c>
      <c r="Q20" s="37">
        <f t="shared" si="5"/>
        <v>39245.100000000006</v>
      </c>
      <c r="R20" s="37">
        <f t="shared" si="5"/>
        <v>40030.002000000008</v>
      </c>
      <c r="S20" s="37">
        <f t="shared" si="5"/>
        <v>40422.453000000001</v>
      </c>
      <c r="T20" s="37">
        <f t="shared" si="5"/>
        <v>40030.002000000008</v>
      </c>
      <c r="U20" s="37">
        <f t="shared" si="5"/>
        <v>39245.100000000006</v>
      </c>
      <c r="V20" s="37">
        <f t="shared" si="5"/>
        <v>40814.904000000002</v>
      </c>
      <c r="W20" s="37">
        <f t="shared" si="5"/>
        <v>41207.35500000001</v>
      </c>
      <c r="X20" s="37">
        <f t="shared" si="5"/>
        <v>40814.904000000002</v>
      </c>
      <c r="Y20" s="37">
        <f t="shared" si="5"/>
        <v>40422.453000000001</v>
      </c>
      <c r="Z20" s="37">
        <f t="shared" si="5"/>
        <v>41599.806000000011</v>
      </c>
    </row>
    <row r="21" spans="1:26" ht="15" customHeight="1" x14ac:dyDescent="0.2">
      <c r="A21" s="8" t="s">
        <v>157</v>
      </c>
      <c r="B21" s="34" t="s">
        <v>127</v>
      </c>
      <c r="C21" s="44">
        <f t="shared" ref="C21:Z21" si="6">IF(C7=0,0,C20/C7)</f>
        <v>0.94259358288770057</v>
      </c>
      <c r="D21" s="44">
        <f t="shared" si="6"/>
        <v>0.80640881430942291</v>
      </c>
      <c r="E21" s="44">
        <f t="shared" si="6"/>
        <v>0.73708398867568414</v>
      </c>
      <c r="F21" s="44">
        <f t="shared" si="6"/>
        <v>0.69955614973262037</v>
      </c>
      <c r="G21" s="44">
        <f t="shared" si="6"/>
        <v>0.69955614973262037</v>
      </c>
      <c r="H21" s="44">
        <f t="shared" si="6"/>
        <v>0.69955614973262059</v>
      </c>
      <c r="I21" s="44">
        <f t="shared" si="6"/>
        <v>0.69955614973262037</v>
      </c>
      <c r="J21" s="44">
        <f t="shared" si="6"/>
        <v>0.69955614973262026</v>
      </c>
      <c r="K21" s="44">
        <f t="shared" si="6"/>
        <v>0.69955614973262037</v>
      </c>
      <c r="L21" s="44">
        <f t="shared" si="6"/>
        <v>0.69955614973262037</v>
      </c>
      <c r="M21" s="44">
        <f t="shared" si="6"/>
        <v>0.69955614973262037</v>
      </c>
      <c r="N21" s="44">
        <f t="shared" si="6"/>
        <v>0.69955614973262037</v>
      </c>
      <c r="O21" s="44">
        <f t="shared" si="6"/>
        <v>0.69955614973262037</v>
      </c>
      <c r="P21" s="44">
        <f t="shared" si="6"/>
        <v>0.69955614973262037</v>
      </c>
      <c r="Q21" s="44">
        <f t="shared" si="6"/>
        <v>0.69955614973262037</v>
      </c>
      <c r="R21" s="44">
        <f t="shared" si="6"/>
        <v>0.69955614973262048</v>
      </c>
      <c r="S21" s="44">
        <f t="shared" si="6"/>
        <v>0.69955614973262037</v>
      </c>
      <c r="T21" s="44">
        <f t="shared" si="6"/>
        <v>0.69955614973262048</v>
      </c>
      <c r="U21" s="44">
        <f t="shared" si="6"/>
        <v>0.69955614973262037</v>
      </c>
      <c r="V21" s="44">
        <f t="shared" si="6"/>
        <v>0.69955614973262037</v>
      </c>
      <c r="W21" s="44">
        <f t="shared" si="6"/>
        <v>0.69955614973262048</v>
      </c>
      <c r="X21" s="44">
        <f t="shared" si="6"/>
        <v>0.69955614973262037</v>
      </c>
      <c r="Y21" s="44">
        <f t="shared" si="6"/>
        <v>0.69955614973262037</v>
      </c>
      <c r="Z21" s="44">
        <f t="shared" si="6"/>
        <v>0.69955614973262048</v>
      </c>
    </row>
    <row r="22" spans="1:26" ht="15" customHeight="1" x14ac:dyDescent="0.2">
      <c r="A22" s="41" t="s">
        <v>90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1:26" ht="15" customHeight="1" x14ac:dyDescent="0.2">
      <c r="A23" s="8" t="s">
        <v>158</v>
      </c>
      <c r="B23" s="34" t="s">
        <v>135</v>
      </c>
      <c r="C23" s="38">
        <f>IF(C6&lt;=Assumptions!$C$21,0,Assumptions!$C$22*(1+Assumptions!$C$19)^INT((C6-1)/12))</f>
        <v>0</v>
      </c>
      <c r="D23" s="38">
        <f>IF(D6&lt;=Assumptions!$C$21,0,Assumptions!$C$22*(1+Assumptions!$C$19)^INT((D6-1)/12))</f>
        <v>6000</v>
      </c>
      <c r="E23" s="38">
        <f>IF(E6&lt;=Assumptions!$C$21,0,Assumptions!$C$22*(1+Assumptions!$C$19)^INT((E6-1)/12))</f>
        <v>6000</v>
      </c>
      <c r="F23" s="38">
        <f>IF(F6&lt;=Assumptions!$C$21,0,Assumptions!$C$22*(1+Assumptions!$C$19)^INT((F6-1)/12))</f>
        <v>6000</v>
      </c>
      <c r="G23" s="38">
        <f>IF(G6&lt;=Assumptions!$C$21,0,Assumptions!$C$22*(1+Assumptions!$C$19)^INT((G6-1)/12))</f>
        <v>6000</v>
      </c>
      <c r="H23" s="38">
        <f>IF(H6&lt;=Assumptions!$C$21,0,Assumptions!$C$22*(1+Assumptions!$C$19)^INT((H6-1)/12))</f>
        <v>6000</v>
      </c>
      <c r="I23" s="38">
        <f>IF(I6&lt;=Assumptions!$C$21,0,Assumptions!$C$22*(1+Assumptions!$C$19)^INT((I6-1)/12))</f>
        <v>6000</v>
      </c>
      <c r="J23" s="38">
        <f>IF(J6&lt;=Assumptions!$C$21,0,Assumptions!$C$22*(1+Assumptions!$C$19)^INT((J6-1)/12))</f>
        <v>6000</v>
      </c>
      <c r="K23" s="38">
        <f>IF(K6&lt;=Assumptions!$C$21,0,Assumptions!$C$22*(1+Assumptions!$C$19)^INT((K6-1)/12))</f>
        <v>6000</v>
      </c>
      <c r="L23" s="38">
        <f>IF(L6&lt;=Assumptions!$C$21,0,Assumptions!$C$22*(1+Assumptions!$C$19)^INT((L6-1)/12))</f>
        <v>6000</v>
      </c>
      <c r="M23" s="38">
        <f>IF(M6&lt;=Assumptions!$C$21,0,Assumptions!$C$22*(1+Assumptions!$C$19)^INT((M6-1)/12))</f>
        <v>6000</v>
      </c>
      <c r="N23" s="38">
        <f>IF(N6&lt;=Assumptions!$C$21,0,Assumptions!$C$22*(1+Assumptions!$C$19)^INT((N6-1)/12))</f>
        <v>6000</v>
      </c>
      <c r="O23" s="38">
        <f>IF(O6&lt;=Assumptions!$C$21,0,Assumptions!$C$22*(1+Assumptions!$C$19)^INT((O6-1)/12))</f>
        <v>6180</v>
      </c>
      <c r="P23" s="38">
        <f>IF(P6&lt;=Assumptions!$C$21,0,Assumptions!$C$22*(1+Assumptions!$C$19)^INT((P6-1)/12))</f>
        <v>6180</v>
      </c>
      <c r="Q23" s="38">
        <f>IF(Q6&lt;=Assumptions!$C$21,0,Assumptions!$C$22*(1+Assumptions!$C$19)^INT((Q6-1)/12))</f>
        <v>6180</v>
      </c>
      <c r="R23" s="38">
        <f>IF(R6&lt;=Assumptions!$C$21,0,Assumptions!$C$22*(1+Assumptions!$C$19)^INT((R6-1)/12))</f>
        <v>6180</v>
      </c>
      <c r="S23" s="38">
        <f>IF(S6&lt;=Assumptions!$C$21,0,Assumptions!$C$22*(1+Assumptions!$C$19)^INT((S6-1)/12))</f>
        <v>6180</v>
      </c>
      <c r="T23" s="38">
        <f>IF(T6&lt;=Assumptions!$C$21,0,Assumptions!$C$22*(1+Assumptions!$C$19)^INT((T6-1)/12))</f>
        <v>6180</v>
      </c>
      <c r="U23" s="38">
        <f>IF(U6&lt;=Assumptions!$C$21,0,Assumptions!$C$22*(1+Assumptions!$C$19)^INT((U6-1)/12))</f>
        <v>6180</v>
      </c>
      <c r="V23" s="38">
        <f>IF(V6&lt;=Assumptions!$C$21,0,Assumptions!$C$22*(1+Assumptions!$C$19)^INT((V6-1)/12))</f>
        <v>6180</v>
      </c>
      <c r="W23" s="38">
        <f>IF(W6&lt;=Assumptions!$C$21,0,Assumptions!$C$22*(1+Assumptions!$C$19)^INT((W6-1)/12))</f>
        <v>6180</v>
      </c>
      <c r="X23" s="38">
        <f>IF(X6&lt;=Assumptions!$C$21,0,Assumptions!$C$22*(1+Assumptions!$C$19)^INT((X6-1)/12))</f>
        <v>6180</v>
      </c>
      <c r="Y23" s="38">
        <f>IF(Y6&lt;=Assumptions!$C$21,0,Assumptions!$C$22*(1+Assumptions!$C$19)^INT((Y6-1)/12))</f>
        <v>6180</v>
      </c>
      <c r="Z23" s="38">
        <f>IF(Z6&lt;=Assumptions!$C$21,0,Assumptions!$C$22*(1+Assumptions!$C$19)^INT((Z6-1)/12))</f>
        <v>6180</v>
      </c>
    </row>
    <row r="24" spans="1:26" ht="15" customHeight="1" x14ac:dyDescent="0.2">
      <c r="A24" s="8" t="s">
        <v>159</v>
      </c>
      <c r="B24" s="34" t="s">
        <v>135</v>
      </c>
      <c r="C24" s="38">
        <f>Assumptions!$C$50*MAX('Revenue Build'!C8,0.7)</f>
        <v>1400</v>
      </c>
      <c r="D24" s="38">
        <f>Assumptions!$C$50*MAX('Revenue Build'!D8,0.7)</f>
        <v>1400</v>
      </c>
      <c r="E24" s="38">
        <f>Assumptions!$C$50*MAX('Revenue Build'!E8,0.7)</f>
        <v>1400</v>
      </c>
      <c r="F24" s="38">
        <f>Assumptions!$C$50*MAX('Revenue Build'!F8,0.7)</f>
        <v>1500</v>
      </c>
      <c r="G24" s="38">
        <f>Assumptions!$C$50*MAX('Revenue Build'!G8,0.7)</f>
        <v>1600</v>
      </c>
      <c r="H24" s="38">
        <f>Assumptions!$C$50*MAX('Revenue Build'!H8,0.7)</f>
        <v>1680</v>
      </c>
      <c r="I24" s="38">
        <f>Assumptions!$C$50*MAX('Revenue Build'!I8,0.7)</f>
        <v>1760</v>
      </c>
      <c r="J24" s="38">
        <f>Assumptions!$C$50*MAX('Revenue Build'!J8,0.7)</f>
        <v>1820</v>
      </c>
      <c r="K24" s="38">
        <f>Assumptions!$C$50*MAX('Revenue Build'!K8,0.7)</f>
        <v>1880</v>
      </c>
      <c r="L24" s="38">
        <f>Assumptions!$C$50*MAX('Revenue Build'!L8,0.7)</f>
        <v>1920</v>
      </c>
      <c r="M24" s="38">
        <f>Assumptions!$C$50*MAX('Revenue Build'!M8,0.7)</f>
        <v>1960</v>
      </c>
      <c r="N24" s="38">
        <f>Assumptions!$C$50*MAX('Revenue Build'!N8,0.7)</f>
        <v>2000</v>
      </c>
      <c r="O24" s="38">
        <f>Assumptions!$C$50*MAX('Revenue Build'!O8,0.7)</f>
        <v>1940</v>
      </c>
      <c r="P24" s="38">
        <f>Assumptions!$C$50*MAX('Revenue Build'!P8,0.7)</f>
        <v>1980</v>
      </c>
      <c r="Q24" s="38">
        <f>Assumptions!$C$50*MAX('Revenue Build'!Q8,0.7)</f>
        <v>2000</v>
      </c>
      <c r="R24" s="38">
        <f>Assumptions!$C$50*MAX('Revenue Build'!R8,0.7)</f>
        <v>2040</v>
      </c>
      <c r="S24" s="38">
        <f>Assumptions!$C$50*MAX('Revenue Build'!S8,0.7)</f>
        <v>2060</v>
      </c>
      <c r="T24" s="38">
        <f>Assumptions!$C$50*MAX('Revenue Build'!T8,0.7)</f>
        <v>2040</v>
      </c>
      <c r="U24" s="38">
        <f>Assumptions!$C$50*MAX('Revenue Build'!U8,0.7)</f>
        <v>2000</v>
      </c>
      <c r="V24" s="38">
        <f>Assumptions!$C$50*MAX('Revenue Build'!V8,0.7)</f>
        <v>2080</v>
      </c>
      <c r="W24" s="38">
        <f>Assumptions!$C$50*MAX('Revenue Build'!W8,0.7)</f>
        <v>2100</v>
      </c>
      <c r="X24" s="38">
        <f>Assumptions!$C$50*MAX('Revenue Build'!X8,0.7)</f>
        <v>2080</v>
      </c>
      <c r="Y24" s="38">
        <f>Assumptions!$C$50*MAX('Revenue Build'!Y8,0.7)</f>
        <v>2060</v>
      </c>
      <c r="Z24" s="38">
        <f>Assumptions!$C$50*MAX('Revenue Build'!Z8,0.7)</f>
        <v>2120</v>
      </c>
    </row>
    <row r="25" spans="1:26" ht="15" customHeight="1" x14ac:dyDescent="0.2">
      <c r="A25" s="8" t="s">
        <v>160</v>
      </c>
      <c r="B25" s="34" t="s">
        <v>135</v>
      </c>
      <c r="C25" s="38">
        <f>Assumptions!$C$51/12</f>
        <v>1166.6666666666667</v>
      </c>
      <c r="D25" s="38">
        <f>Assumptions!$C$51/12</f>
        <v>1166.6666666666667</v>
      </c>
      <c r="E25" s="38">
        <f>Assumptions!$C$51/12</f>
        <v>1166.6666666666667</v>
      </c>
      <c r="F25" s="38">
        <f>Assumptions!$C$51/12</f>
        <v>1166.6666666666667</v>
      </c>
      <c r="G25" s="38">
        <f>Assumptions!$C$51/12</f>
        <v>1166.6666666666667</v>
      </c>
      <c r="H25" s="38">
        <f>Assumptions!$C$51/12</f>
        <v>1166.6666666666667</v>
      </c>
      <c r="I25" s="38">
        <f>Assumptions!$C$51/12</f>
        <v>1166.6666666666667</v>
      </c>
      <c r="J25" s="38">
        <f>Assumptions!$C$51/12</f>
        <v>1166.6666666666667</v>
      </c>
      <c r="K25" s="38">
        <f>Assumptions!$C$51/12</f>
        <v>1166.6666666666667</v>
      </c>
      <c r="L25" s="38">
        <f>Assumptions!$C$51/12</f>
        <v>1166.6666666666667</v>
      </c>
      <c r="M25" s="38">
        <f>Assumptions!$C$51/12</f>
        <v>1166.6666666666667</v>
      </c>
      <c r="N25" s="38">
        <f>Assumptions!$C$51/12</f>
        <v>1166.6666666666667</v>
      </c>
      <c r="O25" s="38">
        <f>Assumptions!$C$51/12</f>
        <v>1166.6666666666667</v>
      </c>
      <c r="P25" s="38">
        <f>Assumptions!$C$51/12</f>
        <v>1166.6666666666667</v>
      </c>
      <c r="Q25" s="38">
        <f>Assumptions!$C$51/12</f>
        <v>1166.6666666666667</v>
      </c>
      <c r="R25" s="38">
        <f>Assumptions!$C$51/12</f>
        <v>1166.6666666666667</v>
      </c>
      <c r="S25" s="38">
        <f>Assumptions!$C$51/12</f>
        <v>1166.6666666666667</v>
      </c>
      <c r="T25" s="38">
        <f>Assumptions!$C$51/12</f>
        <v>1166.6666666666667</v>
      </c>
      <c r="U25" s="38">
        <f>Assumptions!$C$51/12</f>
        <v>1166.6666666666667</v>
      </c>
      <c r="V25" s="38">
        <f>Assumptions!$C$51/12</f>
        <v>1166.6666666666667</v>
      </c>
      <c r="W25" s="38">
        <f>Assumptions!$C$51/12</f>
        <v>1166.6666666666667</v>
      </c>
      <c r="X25" s="38">
        <f>Assumptions!$C$51/12</f>
        <v>1166.6666666666667</v>
      </c>
      <c r="Y25" s="38">
        <f>Assumptions!$C$51/12</f>
        <v>1166.6666666666667</v>
      </c>
      <c r="Z25" s="38">
        <f>Assumptions!$C$51/12</f>
        <v>1166.6666666666667</v>
      </c>
    </row>
    <row r="26" spans="1:26" ht="15" customHeight="1" x14ac:dyDescent="0.2">
      <c r="A26" s="8" t="s">
        <v>161</v>
      </c>
      <c r="B26" s="34" t="s">
        <v>135</v>
      </c>
      <c r="C26" s="38">
        <f>C7*Assumptions!$C$53*Assumptions!$C$52</f>
        <v>627.08580000000006</v>
      </c>
      <c r="D26" s="38">
        <f>D7*Assumptions!$C$53*Assumptions!$C$52</f>
        <v>808.24392000000012</v>
      </c>
      <c r="E26" s="38">
        <f>E7*Assumptions!$C$53*Assumptions!$C$52</f>
        <v>947.59632000000033</v>
      </c>
      <c r="F26" s="38">
        <f>F7*Assumptions!$C$53*Assumptions!$C$52</f>
        <v>1045.143</v>
      </c>
      <c r="G26" s="38">
        <f>G7*Assumptions!$C$53*Assumptions!$C$52</f>
        <v>1114.8191999999999</v>
      </c>
      <c r="H26" s="38">
        <f>H7*Assumptions!$C$53*Assumptions!$C$52</f>
        <v>1170.5601599999998</v>
      </c>
      <c r="I26" s="38">
        <f>I7*Assumptions!$C$53*Assumptions!$C$52</f>
        <v>1226.3011200000001</v>
      </c>
      <c r="J26" s="38">
        <f>J7*Assumptions!$C$53*Assumptions!$C$52</f>
        <v>1268.1068400000001</v>
      </c>
      <c r="K26" s="38">
        <f>K7*Assumptions!$C$53*Assumptions!$C$52</f>
        <v>1309.91256</v>
      </c>
      <c r="L26" s="38">
        <f>L7*Assumptions!$C$53*Assumptions!$C$52</f>
        <v>1337.78304</v>
      </c>
      <c r="M26" s="38">
        <f>M7*Assumptions!$C$53*Assumptions!$C$52</f>
        <v>1365.6535200000001</v>
      </c>
      <c r="N26" s="38">
        <f>N7*Assumptions!$C$53*Assumptions!$C$52</f>
        <v>1393.5239999999999</v>
      </c>
      <c r="O26" s="38">
        <f>O7*Assumptions!$C$53*Assumptions!$C$52</f>
        <v>1351.71828</v>
      </c>
      <c r="P26" s="38">
        <f>P7*Assumptions!$C$53*Assumptions!$C$52</f>
        <v>1379.5887600000001</v>
      </c>
      <c r="Q26" s="38">
        <f>Q7*Assumptions!$C$53*Assumptions!$C$52</f>
        <v>1393.5239999999999</v>
      </c>
      <c r="R26" s="38">
        <f>R7*Assumptions!$C$53*Assumptions!$C$52</f>
        <v>1421.3944800000002</v>
      </c>
      <c r="S26" s="38">
        <f>S7*Assumptions!$C$53*Assumptions!$C$52</f>
        <v>1435.32972</v>
      </c>
      <c r="T26" s="38">
        <f>T7*Assumptions!$C$53*Assumptions!$C$52</f>
        <v>1421.3944800000002</v>
      </c>
      <c r="U26" s="38">
        <f>U7*Assumptions!$C$53*Assumptions!$C$52</f>
        <v>1393.5239999999999</v>
      </c>
      <c r="V26" s="38">
        <f>V7*Assumptions!$C$53*Assumptions!$C$52</f>
        <v>1449.26496</v>
      </c>
      <c r="W26" s="38">
        <f>W7*Assumptions!$C$53*Assumptions!$C$52</f>
        <v>1463.2002000000002</v>
      </c>
      <c r="X26" s="38">
        <f>X7*Assumptions!$C$53*Assumptions!$C$52</f>
        <v>1449.26496</v>
      </c>
      <c r="Y26" s="38">
        <f>Y7*Assumptions!$C$53*Assumptions!$C$52</f>
        <v>1435.32972</v>
      </c>
      <c r="Z26" s="38">
        <f>Z7*Assumptions!$C$53*Assumptions!$C$52</f>
        <v>1477.1354400000002</v>
      </c>
    </row>
    <row r="27" spans="1:26" ht="15" customHeight="1" x14ac:dyDescent="0.2">
      <c r="A27" s="8" t="s">
        <v>162</v>
      </c>
      <c r="B27" s="34" t="s">
        <v>135</v>
      </c>
      <c r="C27" s="38">
        <f>Assumptions!$C$54</f>
        <v>300</v>
      </c>
      <c r="D27" s="38">
        <f>Assumptions!$C$54</f>
        <v>300</v>
      </c>
      <c r="E27" s="38">
        <f>Assumptions!$C$54</f>
        <v>300</v>
      </c>
      <c r="F27" s="38">
        <f>Assumptions!$C$54</f>
        <v>300</v>
      </c>
      <c r="G27" s="38">
        <f>Assumptions!$C$54</f>
        <v>300</v>
      </c>
      <c r="H27" s="38">
        <f>Assumptions!$C$54</f>
        <v>300</v>
      </c>
      <c r="I27" s="38">
        <f>Assumptions!$C$54</f>
        <v>300</v>
      </c>
      <c r="J27" s="38">
        <f>Assumptions!$C$54</f>
        <v>300</v>
      </c>
      <c r="K27" s="38">
        <f>Assumptions!$C$54</f>
        <v>300</v>
      </c>
      <c r="L27" s="38">
        <f>Assumptions!$C$54</f>
        <v>300</v>
      </c>
      <c r="M27" s="38">
        <f>Assumptions!$C$54</f>
        <v>300</v>
      </c>
      <c r="N27" s="38">
        <f>Assumptions!$C$54</f>
        <v>300</v>
      </c>
      <c r="O27" s="38">
        <f>Assumptions!$C$54</f>
        <v>300</v>
      </c>
      <c r="P27" s="38">
        <f>Assumptions!$C$54</f>
        <v>300</v>
      </c>
      <c r="Q27" s="38">
        <f>Assumptions!$C$54</f>
        <v>300</v>
      </c>
      <c r="R27" s="38">
        <f>Assumptions!$C$54</f>
        <v>300</v>
      </c>
      <c r="S27" s="38">
        <f>Assumptions!$C$54</f>
        <v>300</v>
      </c>
      <c r="T27" s="38">
        <f>Assumptions!$C$54</f>
        <v>300</v>
      </c>
      <c r="U27" s="38">
        <f>Assumptions!$C$54</f>
        <v>300</v>
      </c>
      <c r="V27" s="38">
        <f>Assumptions!$C$54</f>
        <v>300</v>
      </c>
      <c r="W27" s="38">
        <f>Assumptions!$C$54</f>
        <v>300</v>
      </c>
      <c r="X27" s="38">
        <f>Assumptions!$C$54</f>
        <v>300</v>
      </c>
      <c r="Y27" s="38">
        <f>Assumptions!$C$54</f>
        <v>300</v>
      </c>
      <c r="Z27" s="38">
        <f>Assumptions!$C$54</f>
        <v>300</v>
      </c>
    </row>
    <row r="28" spans="1:26" ht="15" customHeight="1" x14ac:dyDescent="0.2">
      <c r="A28" s="8" t="s">
        <v>163</v>
      </c>
      <c r="B28" s="34" t="s">
        <v>135</v>
      </c>
      <c r="C28" s="38">
        <f>Assumptions!$C$55</f>
        <v>800</v>
      </c>
      <c r="D28" s="38">
        <f>Assumptions!$C$55</f>
        <v>800</v>
      </c>
      <c r="E28" s="38">
        <f>Assumptions!$C$55</f>
        <v>800</v>
      </c>
      <c r="F28" s="38">
        <f>Assumptions!$C$55</f>
        <v>800</v>
      </c>
      <c r="G28" s="38">
        <f>Assumptions!$C$55</f>
        <v>800</v>
      </c>
      <c r="H28" s="38">
        <f>Assumptions!$C$55</f>
        <v>800</v>
      </c>
      <c r="I28" s="38">
        <f>Assumptions!$C$55</f>
        <v>800</v>
      </c>
      <c r="J28" s="38">
        <f>Assumptions!$C$55</f>
        <v>800</v>
      </c>
      <c r="K28" s="38">
        <f>Assumptions!$C$55</f>
        <v>800</v>
      </c>
      <c r="L28" s="38">
        <f>Assumptions!$C$55</f>
        <v>800</v>
      </c>
      <c r="M28" s="38">
        <f>Assumptions!$C$55</f>
        <v>800</v>
      </c>
      <c r="N28" s="38">
        <f>Assumptions!$C$55</f>
        <v>800</v>
      </c>
      <c r="O28" s="38">
        <f>Assumptions!$C$55</f>
        <v>800</v>
      </c>
      <c r="P28" s="38">
        <f>Assumptions!$C$55</f>
        <v>800</v>
      </c>
      <c r="Q28" s="38">
        <f>Assumptions!$C$55</f>
        <v>800</v>
      </c>
      <c r="R28" s="38">
        <f>Assumptions!$C$55</f>
        <v>800</v>
      </c>
      <c r="S28" s="38">
        <f>Assumptions!$C$55</f>
        <v>800</v>
      </c>
      <c r="T28" s="38">
        <f>Assumptions!$C$55</f>
        <v>800</v>
      </c>
      <c r="U28" s="38">
        <f>Assumptions!$C$55</f>
        <v>800</v>
      </c>
      <c r="V28" s="38">
        <f>Assumptions!$C$55</f>
        <v>800</v>
      </c>
      <c r="W28" s="38">
        <f>Assumptions!$C$55</f>
        <v>800</v>
      </c>
      <c r="X28" s="38">
        <f>Assumptions!$C$55</f>
        <v>800</v>
      </c>
      <c r="Y28" s="38">
        <f>Assumptions!$C$55</f>
        <v>800</v>
      </c>
      <c r="Z28" s="38">
        <f>Assumptions!$C$55</f>
        <v>800</v>
      </c>
    </row>
    <row r="29" spans="1:26" ht="15" customHeight="1" x14ac:dyDescent="0.2">
      <c r="A29" s="8" t="s">
        <v>164</v>
      </c>
      <c r="B29" s="34" t="s">
        <v>135</v>
      </c>
      <c r="C29" s="38">
        <f>Assumptions!$C$56</f>
        <v>750</v>
      </c>
      <c r="D29" s="38">
        <f>Assumptions!$C$56</f>
        <v>750</v>
      </c>
      <c r="E29" s="38">
        <f>Assumptions!$C$56</f>
        <v>750</v>
      </c>
      <c r="F29" s="38">
        <f>Assumptions!$C$56</f>
        <v>750</v>
      </c>
      <c r="G29" s="38">
        <f>Assumptions!$C$56</f>
        <v>750</v>
      </c>
      <c r="H29" s="38">
        <f>Assumptions!$C$56</f>
        <v>750</v>
      </c>
      <c r="I29" s="38">
        <f>Assumptions!$C$56</f>
        <v>750</v>
      </c>
      <c r="J29" s="38">
        <f>Assumptions!$C$56</f>
        <v>750</v>
      </c>
      <c r="K29" s="38">
        <f>Assumptions!$C$56</f>
        <v>750</v>
      </c>
      <c r="L29" s="38">
        <f>Assumptions!$C$56</f>
        <v>750</v>
      </c>
      <c r="M29" s="38">
        <f>Assumptions!$C$56</f>
        <v>750</v>
      </c>
      <c r="N29" s="38">
        <f>Assumptions!$C$56</f>
        <v>750</v>
      </c>
      <c r="O29" s="38">
        <f>Assumptions!$C$56</f>
        <v>750</v>
      </c>
      <c r="P29" s="38">
        <f>Assumptions!$C$56</f>
        <v>750</v>
      </c>
      <c r="Q29" s="38">
        <f>Assumptions!$C$56</f>
        <v>750</v>
      </c>
      <c r="R29" s="38">
        <f>Assumptions!$C$56</f>
        <v>750</v>
      </c>
      <c r="S29" s="38">
        <f>Assumptions!$C$56</f>
        <v>750</v>
      </c>
      <c r="T29" s="38">
        <f>Assumptions!$C$56</f>
        <v>750</v>
      </c>
      <c r="U29" s="38">
        <f>Assumptions!$C$56</f>
        <v>750</v>
      </c>
      <c r="V29" s="38">
        <f>Assumptions!$C$56</f>
        <v>750</v>
      </c>
      <c r="W29" s="38">
        <f>Assumptions!$C$56</f>
        <v>750</v>
      </c>
      <c r="X29" s="38">
        <f>Assumptions!$C$56</f>
        <v>750</v>
      </c>
      <c r="Y29" s="38">
        <f>Assumptions!$C$56</f>
        <v>750</v>
      </c>
      <c r="Z29" s="38">
        <f>Assumptions!$C$56</f>
        <v>750</v>
      </c>
    </row>
    <row r="30" spans="1:26" ht="15" customHeight="1" x14ac:dyDescent="0.2">
      <c r="A30" s="8" t="s">
        <v>165</v>
      </c>
      <c r="B30" s="34" t="s">
        <v>135</v>
      </c>
      <c r="C30" s="38">
        <f>C7*Assumptions!$C$57</f>
        <v>1009.8000000000001</v>
      </c>
      <c r="D30" s="38">
        <f>D7*Assumptions!$C$57</f>
        <v>1301.52</v>
      </c>
      <c r="E30" s="38">
        <f>E7*Assumptions!$C$57</f>
        <v>1525.9200000000003</v>
      </c>
      <c r="F30" s="38">
        <f>F7*Assumptions!$C$57</f>
        <v>1683</v>
      </c>
      <c r="G30" s="38">
        <f>G7*Assumptions!$C$57</f>
        <v>1795.2</v>
      </c>
      <c r="H30" s="38">
        <f>H7*Assumptions!$C$57</f>
        <v>1884.9599999999998</v>
      </c>
      <c r="I30" s="38">
        <f>I7*Assumptions!$C$57</f>
        <v>1974.72</v>
      </c>
      <c r="J30" s="38">
        <f>J7*Assumptions!$C$57</f>
        <v>2042.0400000000004</v>
      </c>
      <c r="K30" s="38">
        <f>K7*Assumptions!$C$57</f>
        <v>2109.3599999999997</v>
      </c>
      <c r="L30" s="38">
        <f>L7*Assumptions!$C$57</f>
        <v>2154.2400000000002</v>
      </c>
      <c r="M30" s="38">
        <f>M7*Assumptions!$C$57</f>
        <v>2199.12</v>
      </c>
      <c r="N30" s="38">
        <f>N7*Assumptions!$C$57</f>
        <v>2244</v>
      </c>
      <c r="O30" s="38">
        <f>O7*Assumptions!$C$57</f>
        <v>2176.6799999999998</v>
      </c>
      <c r="P30" s="38">
        <f>P7*Assumptions!$C$57</f>
        <v>2221.56</v>
      </c>
      <c r="Q30" s="38">
        <f>Q7*Assumptions!$C$57</f>
        <v>2244</v>
      </c>
      <c r="R30" s="38">
        <f>R7*Assumptions!$C$57</f>
        <v>2288.88</v>
      </c>
      <c r="S30" s="38">
        <f>S7*Assumptions!$C$57</f>
        <v>2311.3200000000002</v>
      </c>
      <c r="T30" s="38">
        <f>T7*Assumptions!$C$57</f>
        <v>2288.88</v>
      </c>
      <c r="U30" s="38">
        <f>U7*Assumptions!$C$57</f>
        <v>2244</v>
      </c>
      <c r="V30" s="38">
        <f>V7*Assumptions!$C$57</f>
        <v>2333.7600000000002</v>
      </c>
      <c r="W30" s="38">
        <f>W7*Assumptions!$C$57</f>
        <v>2356.2000000000003</v>
      </c>
      <c r="X30" s="38">
        <f>X7*Assumptions!$C$57</f>
        <v>2333.7600000000002</v>
      </c>
      <c r="Y30" s="38">
        <f>Y7*Assumptions!$C$57</f>
        <v>2311.3200000000002</v>
      </c>
      <c r="Z30" s="38">
        <f>Z7*Assumptions!$C$57</f>
        <v>2378.6400000000003</v>
      </c>
    </row>
    <row r="31" spans="1:26" ht="15" customHeight="1" x14ac:dyDescent="0.2">
      <c r="A31" s="8" t="s">
        <v>166</v>
      </c>
      <c r="B31" s="34" t="s">
        <v>135</v>
      </c>
      <c r="C31" s="38">
        <f>Assumptions!$C$58</f>
        <v>1400</v>
      </c>
      <c r="D31" s="38">
        <f>Assumptions!$C$58</f>
        <v>1400</v>
      </c>
      <c r="E31" s="38">
        <f>Assumptions!$C$58</f>
        <v>1400</v>
      </c>
      <c r="F31" s="38">
        <f>Assumptions!$C$58</f>
        <v>1400</v>
      </c>
      <c r="G31" s="38">
        <f>Assumptions!$C$58</f>
        <v>1400</v>
      </c>
      <c r="H31" s="38">
        <f>Assumptions!$C$58</f>
        <v>1400</v>
      </c>
      <c r="I31" s="38">
        <f>Assumptions!$C$58</f>
        <v>1400</v>
      </c>
      <c r="J31" s="38">
        <f>Assumptions!$C$58</f>
        <v>1400</v>
      </c>
      <c r="K31" s="38">
        <f>Assumptions!$C$58</f>
        <v>1400</v>
      </c>
      <c r="L31" s="38">
        <f>Assumptions!$C$58</f>
        <v>1400</v>
      </c>
      <c r="M31" s="38">
        <f>Assumptions!$C$58</f>
        <v>1400</v>
      </c>
      <c r="N31" s="38">
        <f>Assumptions!$C$58</f>
        <v>1400</v>
      </c>
      <c r="O31" s="38">
        <f>Assumptions!$C$58</f>
        <v>1400</v>
      </c>
      <c r="P31" s="38">
        <f>Assumptions!$C$58</f>
        <v>1400</v>
      </c>
      <c r="Q31" s="38">
        <f>Assumptions!$C$58</f>
        <v>1400</v>
      </c>
      <c r="R31" s="38">
        <f>Assumptions!$C$58</f>
        <v>1400</v>
      </c>
      <c r="S31" s="38">
        <f>Assumptions!$C$58</f>
        <v>1400</v>
      </c>
      <c r="T31" s="38">
        <f>Assumptions!$C$58</f>
        <v>1400</v>
      </c>
      <c r="U31" s="38">
        <f>Assumptions!$C$58</f>
        <v>1400</v>
      </c>
      <c r="V31" s="38">
        <f>Assumptions!$C$58</f>
        <v>1400</v>
      </c>
      <c r="W31" s="38">
        <f>Assumptions!$C$58</f>
        <v>1400</v>
      </c>
      <c r="X31" s="38">
        <f>Assumptions!$C$58</f>
        <v>1400</v>
      </c>
      <c r="Y31" s="38">
        <f>Assumptions!$C$58</f>
        <v>1400</v>
      </c>
      <c r="Z31" s="38">
        <f>Assumptions!$C$58</f>
        <v>1400</v>
      </c>
    </row>
    <row r="32" spans="1:26" ht="15" customHeight="1" x14ac:dyDescent="0.2">
      <c r="A32" s="8" t="s">
        <v>167</v>
      </c>
      <c r="B32" s="34" t="s">
        <v>135</v>
      </c>
      <c r="C32" s="38">
        <f>Assumptions!$C$59</f>
        <v>500</v>
      </c>
      <c r="D32" s="38">
        <f>Assumptions!$C$59</f>
        <v>500</v>
      </c>
      <c r="E32" s="38">
        <f>Assumptions!$C$59</f>
        <v>500</v>
      </c>
      <c r="F32" s="38">
        <f>Assumptions!$C$59</f>
        <v>500</v>
      </c>
      <c r="G32" s="38">
        <f>Assumptions!$C$59</f>
        <v>500</v>
      </c>
      <c r="H32" s="38">
        <f>Assumptions!$C$59</f>
        <v>500</v>
      </c>
      <c r="I32" s="38">
        <f>Assumptions!$C$59</f>
        <v>500</v>
      </c>
      <c r="J32" s="38">
        <f>Assumptions!$C$59</f>
        <v>500</v>
      </c>
      <c r="K32" s="38">
        <f>Assumptions!$C$59</f>
        <v>500</v>
      </c>
      <c r="L32" s="38">
        <f>Assumptions!$C$59</f>
        <v>500</v>
      </c>
      <c r="M32" s="38">
        <f>Assumptions!$C$59</f>
        <v>500</v>
      </c>
      <c r="N32" s="38">
        <f>Assumptions!$C$59</f>
        <v>500</v>
      </c>
      <c r="O32" s="38">
        <f>Assumptions!$C$59</f>
        <v>500</v>
      </c>
      <c r="P32" s="38">
        <f>Assumptions!$C$59</f>
        <v>500</v>
      </c>
      <c r="Q32" s="38">
        <f>Assumptions!$C$59</f>
        <v>500</v>
      </c>
      <c r="R32" s="38">
        <f>Assumptions!$C$59</f>
        <v>500</v>
      </c>
      <c r="S32" s="38">
        <f>Assumptions!$C$59</f>
        <v>500</v>
      </c>
      <c r="T32" s="38">
        <f>Assumptions!$C$59</f>
        <v>500</v>
      </c>
      <c r="U32" s="38">
        <f>Assumptions!$C$59</f>
        <v>500</v>
      </c>
      <c r="V32" s="38">
        <f>Assumptions!$C$59</f>
        <v>500</v>
      </c>
      <c r="W32" s="38">
        <f>Assumptions!$C$59</f>
        <v>500</v>
      </c>
      <c r="X32" s="38">
        <f>Assumptions!$C$59</f>
        <v>500</v>
      </c>
      <c r="Y32" s="38">
        <f>Assumptions!$C$59</f>
        <v>500</v>
      </c>
      <c r="Z32" s="38">
        <f>Assumptions!$C$59</f>
        <v>500</v>
      </c>
    </row>
    <row r="33" spans="1:26" ht="15" customHeight="1" x14ac:dyDescent="0.2">
      <c r="A33" s="30" t="s">
        <v>168</v>
      </c>
      <c r="B33" s="34" t="s">
        <v>135</v>
      </c>
      <c r="C33" s="43">
        <f t="shared" ref="C33:Z33" si="7">SUM(C23:C32)</f>
        <v>7953.552466666667</v>
      </c>
      <c r="D33" s="43">
        <f t="shared" si="7"/>
        <v>14426.430586666667</v>
      </c>
      <c r="E33" s="43">
        <f t="shared" si="7"/>
        <v>14790.182986666667</v>
      </c>
      <c r="F33" s="43">
        <f t="shared" si="7"/>
        <v>15144.809666666666</v>
      </c>
      <c r="G33" s="43">
        <f t="shared" si="7"/>
        <v>15426.685866666667</v>
      </c>
      <c r="H33" s="43">
        <f t="shared" si="7"/>
        <v>15652.186826666664</v>
      </c>
      <c r="I33" s="43">
        <f t="shared" si="7"/>
        <v>15877.687786666665</v>
      </c>
      <c r="J33" s="43">
        <f t="shared" si="7"/>
        <v>16046.813506666667</v>
      </c>
      <c r="K33" s="43">
        <f t="shared" si="7"/>
        <v>16215.939226666665</v>
      </c>
      <c r="L33" s="43">
        <f t="shared" si="7"/>
        <v>16328.689706666666</v>
      </c>
      <c r="M33" s="43">
        <f t="shared" si="7"/>
        <v>16441.440186666667</v>
      </c>
      <c r="N33" s="43">
        <f t="shared" si="7"/>
        <v>16554.190666666665</v>
      </c>
      <c r="O33" s="43">
        <f t="shared" si="7"/>
        <v>16565.064946666665</v>
      </c>
      <c r="P33" s="43">
        <f t="shared" si="7"/>
        <v>16677.815426666668</v>
      </c>
      <c r="Q33" s="43">
        <f t="shared" si="7"/>
        <v>16734.190666666665</v>
      </c>
      <c r="R33" s="43">
        <f t="shared" si="7"/>
        <v>16846.941146666668</v>
      </c>
      <c r="S33" s="43">
        <f t="shared" si="7"/>
        <v>16903.316386666665</v>
      </c>
      <c r="T33" s="43">
        <f t="shared" si="7"/>
        <v>16846.941146666668</v>
      </c>
      <c r="U33" s="43">
        <f t="shared" si="7"/>
        <v>16734.190666666665</v>
      </c>
      <c r="V33" s="43">
        <f t="shared" si="7"/>
        <v>16959.691626666667</v>
      </c>
      <c r="W33" s="43">
        <f t="shared" si="7"/>
        <v>17016.066866666668</v>
      </c>
      <c r="X33" s="43">
        <f t="shared" si="7"/>
        <v>16959.691626666667</v>
      </c>
      <c r="Y33" s="43">
        <f t="shared" si="7"/>
        <v>16903.316386666665</v>
      </c>
      <c r="Z33" s="43">
        <f t="shared" si="7"/>
        <v>17072.442106666665</v>
      </c>
    </row>
    <row r="34" spans="1:26" ht="15" customHeight="1" x14ac:dyDescent="0.2">
      <c r="A34" s="30" t="s">
        <v>169</v>
      </c>
      <c r="B34" s="34" t="s">
        <v>135</v>
      </c>
      <c r="C34" s="37">
        <f t="shared" ref="C34:Z34" si="8">C12-C18-C33</f>
        <v>-6504.3274666666703</v>
      </c>
      <c r="D34" s="37">
        <f t="shared" si="8"/>
        <v>-8127.360586666673</v>
      </c>
      <c r="E34" s="37">
        <f t="shared" si="8"/>
        <v>-4760.4629866666673</v>
      </c>
      <c r="F34" s="37">
        <f t="shared" si="8"/>
        <v>-2503.6346666666686</v>
      </c>
      <c r="G34" s="37">
        <f t="shared" si="8"/>
        <v>-1942.7658666666684</v>
      </c>
      <c r="H34" s="37">
        <f t="shared" si="8"/>
        <v>-1494.0708266666734</v>
      </c>
      <c r="I34" s="37">
        <f t="shared" si="8"/>
        <v>-1045.3757866666638</v>
      </c>
      <c r="J34" s="37">
        <f t="shared" si="8"/>
        <v>-708.85450666666111</v>
      </c>
      <c r="K34" s="37">
        <f t="shared" si="8"/>
        <v>-372.333226666673</v>
      </c>
      <c r="L34" s="37">
        <f t="shared" si="8"/>
        <v>-147.98570666666819</v>
      </c>
      <c r="M34" s="37">
        <f t="shared" si="8"/>
        <v>76.361813333329337</v>
      </c>
      <c r="N34" s="37">
        <f t="shared" si="8"/>
        <v>300.70933333333232</v>
      </c>
      <c r="O34" s="37">
        <f t="shared" si="8"/>
        <v>-215.81194666666488</v>
      </c>
      <c r="P34" s="37">
        <f t="shared" si="8"/>
        <v>8.5355733333308308</v>
      </c>
      <c r="Q34" s="37">
        <f t="shared" si="8"/>
        <v>120.70933333333232</v>
      </c>
      <c r="R34" s="37">
        <f t="shared" si="8"/>
        <v>345.05685333332804</v>
      </c>
      <c r="S34" s="37">
        <f t="shared" si="8"/>
        <v>457.23061333332953</v>
      </c>
      <c r="T34" s="37">
        <f t="shared" si="8"/>
        <v>345.05685333332804</v>
      </c>
      <c r="U34" s="37">
        <f t="shared" si="8"/>
        <v>120.70933333333232</v>
      </c>
      <c r="V34" s="37">
        <f t="shared" si="8"/>
        <v>569.40437333332738</v>
      </c>
      <c r="W34" s="37">
        <f t="shared" si="8"/>
        <v>681.57813333332524</v>
      </c>
      <c r="X34" s="37">
        <f t="shared" si="8"/>
        <v>569.40437333332738</v>
      </c>
      <c r="Y34" s="37">
        <f t="shared" si="8"/>
        <v>457.23061333332953</v>
      </c>
      <c r="Z34" s="37">
        <f t="shared" si="8"/>
        <v>793.75189333333037</v>
      </c>
    </row>
    <row r="35" spans="1:26" ht="15" customHeight="1" x14ac:dyDescent="0.2">
      <c r="A35" s="8" t="s">
        <v>170</v>
      </c>
      <c r="B35" s="34" t="s">
        <v>127</v>
      </c>
      <c r="C35" s="44">
        <f t="shared" ref="C35:Z35" si="9">IF(C7=0,0,C34/C7)</f>
        <v>-0.25764814682775483</v>
      </c>
      <c r="D35" s="44">
        <f t="shared" si="9"/>
        <v>-0.24978058229352368</v>
      </c>
      <c r="E35" s="44">
        <f t="shared" si="9"/>
        <v>-0.12478932019153471</v>
      </c>
      <c r="F35" s="44">
        <f t="shared" si="9"/>
        <v>-5.9504091899386061E-2</v>
      </c>
      <c r="G35" s="44">
        <f t="shared" si="9"/>
        <v>-4.3288009506833078E-2</v>
      </c>
      <c r="H35" s="44">
        <f t="shared" si="9"/>
        <v>-3.1705093512152484E-2</v>
      </c>
      <c r="I35" s="44">
        <f t="shared" si="9"/>
        <v>-2.1175169880624366E-2</v>
      </c>
      <c r="J35" s="44">
        <f t="shared" si="9"/>
        <v>-1.3885222751104993E-2</v>
      </c>
      <c r="K35" s="44">
        <f t="shared" si="9"/>
        <v>-7.0605913958105403E-3</v>
      </c>
      <c r="L35" s="44">
        <f t="shared" si="9"/>
        <v>-2.7478035254506128E-3</v>
      </c>
      <c r="M35" s="44">
        <f t="shared" si="9"/>
        <v>1.3889521869353074E-3</v>
      </c>
      <c r="N35" s="44">
        <f t="shared" si="9"/>
        <v>5.3602376708258882E-3</v>
      </c>
      <c r="O35" s="44">
        <f t="shared" si="9"/>
        <v>-3.9658920312892086E-3</v>
      </c>
      <c r="P35" s="44">
        <f t="shared" si="9"/>
        <v>1.5368611846325702E-4</v>
      </c>
      <c r="Q35" s="44">
        <f t="shared" si="9"/>
        <v>2.1516815210932678E-3</v>
      </c>
      <c r="R35" s="44">
        <f t="shared" si="9"/>
        <v>6.0301431850219855E-3</v>
      </c>
      <c r="S35" s="44">
        <f t="shared" si="9"/>
        <v>7.9128915655699694E-3</v>
      </c>
      <c r="T35" s="44">
        <f t="shared" si="9"/>
        <v>6.0301431850219855E-3</v>
      </c>
      <c r="U35" s="44">
        <f t="shared" si="9"/>
        <v>2.1516815210932678E-3</v>
      </c>
      <c r="V35" s="44">
        <f t="shared" si="9"/>
        <v>9.7594332464919688E-3</v>
      </c>
      <c r="W35" s="44">
        <f t="shared" si="9"/>
        <v>1.1570802704920214E-2</v>
      </c>
      <c r="X35" s="44">
        <f t="shared" si="9"/>
        <v>9.7594332464919688E-3</v>
      </c>
      <c r="Y35" s="44">
        <f t="shared" si="9"/>
        <v>7.9128915655699694E-3</v>
      </c>
      <c r="Z35" s="44">
        <f t="shared" si="9"/>
        <v>1.3347995381114086E-2</v>
      </c>
    </row>
    <row r="36" spans="1:26" ht="15" customHeight="1" x14ac:dyDescent="0.2">
      <c r="A36" s="8" t="s">
        <v>171</v>
      </c>
      <c r="B36" s="34" t="s">
        <v>135</v>
      </c>
      <c r="C36" s="45">
        <f>'Startup &amp; Funding'!$C$36/Assumptions!$C$18</f>
        <v>9416.6666666666661</v>
      </c>
      <c r="D36" s="45">
        <f>'Startup &amp; Funding'!$C$36/Assumptions!$C$18</f>
        <v>9416.6666666666661</v>
      </c>
      <c r="E36" s="45">
        <f>'Startup &amp; Funding'!$C$36/Assumptions!$C$18</f>
        <v>9416.6666666666661</v>
      </c>
      <c r="F36" s="45">
        <f>'Startup &amp; Funding'!$C$36/Assumptions!$C$18</f>
        <v>9416.6666666666661</v>
      </c>
      <c r="G36" s="45">
        <f>'Startup &amp; Funding'!$C$36/Assumptions!$C$18</f>
        <v>9416.6666666666661</v>
      </c>
      <c r="H36" s="45">
        <f>'Startup &amp; Funding'!$C$36/Assumptions!$C$18</f>
        <v>9416.6666666666661</v>
      </c>
      <c r="I36" s="45">
        <f>'Startup &amp; Funding'!$C$36/Assumptions!$C$18</f>
        <v>9416.6666666666661</v>
      </c>
      <c r="J36" s="45">
        <f>'Startup &amp; Funding'!$C$36/Assumptions!$C$18</f>
        <v>9416.6666666666661</v>
      </c>
      <c r="K36" s="45">
        <f>'Startup &amp; Funding'!$C$36/Assumptions!$C$18</f>
        <v>9416.6666666666661</v>
      </c>
      <c r="L36" s="45">
        <f>'Startup &amp; Funding'!$C$36/Assumptions!$C$18</f>
        <v>9416.6666666666661</v>
      </c>
      <c r="M36" s="45">
        <f>'Startup &amp; Funding'!$C$36/Assumptions!$C$18</f>
        <v>9416.6666666666661</v>
      </c>
      <c r="N36" s="45">
        <f>'Startup &amp; Funding'!$C$36/Assumptions!$C$18</f>
        <v>9416.6666666666661</v>
      </c>
      <c r="O36" s="45">
        <f>'Startup &amp; Funding'!$C$36/Assumptions!$C$18</f>
        <v>9416.6666666666661</v>
      </c>
      <c r="P36" s="45">
        <f>'Startup &amp; Funding'!$C$36/Assumptions!$C$18</f>
        <v>9416.6666666666661</v>
      </c>
      <c r="Q36" s="45">
        <f>'Startup &amp; Funding'!$C$36/Assumptions!$C$18</f>
        <v>9416.6666666666661</v>
      </c>
      <c r="R36" s="45">
        <f>'Startup &amp; Funding'!$C$36/Assumptions!$C$18</f>
        <v>9416.6666666666661</v>
      </c>
      <c r="S36" s="45">
        <f>'Startup &amp; Funding'!$C$36/Assumptions!$C$18</f>
        <v>9416.6666666666661</v>
      </c>
      <c r="T36" s="45">
        <f>'Startup &amp; Funding'!$C$36/Assumptions!$C$18</f>
        <v>9416.6666666666661</v>
      </c>
      <c r="U36" s="45">
        <f>'Startup &amp; Funding'!$C$36/Assumptions!$C$18</f>
        <v>9416.6666666666661</v>
      </c>
      <c r="V36" s="45">
        <f>'Startup &amp; Funding'!$C$36/Assumptions!$C$18</f>
        <v>9416.6666666666661</v>
      </c>
      <c r="W36" s="45">
        <f>'Startup &amp; Funding'!$C$36/Assumptions!$C$18</f>
        <v>9416.6666666666661</v>
      </c>
      <c r="X36" s="45">
        <f>'Startup &amp; Funding'!$C$36/Assumptions!$C$18</f>
        <v>9416.6666666666661</v>
      </c>
      <c r="Y36" s="45">
        <f>'Startup &amp; Funding'!$C$36/Assumptions!$C$18</f>
        <v>9416.6666666666661</v>
      </c>
      <c r="Z36" s="45">
        <f>'Startup &amp; Funding'!$C$36/Assumptions!$C$18</f>
        <v>9416.6666666666661</v>
      </c>
    </row>
    <row r="37" spans="1:26" ht="15" customHeight="1" x14ac:dyDescent="0.2">
      <c r="A37" s="8" t="s">
        <v>172</v>
      </c>
      <c r="B37" s="34" t="s">
        <v>135</v>
      </c>
      <c r="C37" s="38">
        <f t="shared" ref="C37:Z37" si="10">C45</f>
        <v>0</v>
      </c>
      <c r="D37" s="38">
        <f t="shared" si="10"/>
        <v>0</v>
      </c>
      <c r="E37" s="38">
        <f t="shared" si="10"/>
        <v>0</v>
      </c>
      <c r="F37" s="38">
        <f t="shared" si="10"/>
        <v>0</v>
      </c>
      <c r="G37" s="38">
        <f t="shared" si="10"/>
        <v>0</v>
      </c>
      <c r="H37" s="38">
        <f t="shared" si="10"/>
        <v>0</v>
      </c>
      <c r="I37" s="38">
        <f t="shared" si="10"/>
        <v>0</v>
      </c>
      <c r="J37" s="38">
        <f t="shared" si="10"/>
        <v>0</v>
      </c>
      <c r="K37" s="38">
        <f t="shared" si="10"/>
        <v>0</v>
      </c>
      <c r="L37" s="38">
        <f t="shared" si="10"/>
        <v>0</v>
      </c>
      <c r="M37" s="38">
        <f t="shared" si="10"/>
        <v>0</v>
      </c>
      <c r="N37" s="38">
        <f t="shared" si="10"/>
        <v>0</v>
      </c>
      <c r="O37" s="38">
        <f t="shared" si="10"/>
        <v>0</v>
      </c>
      <c r="P37" s="38">
        <f t="shared" si="10"/>
        <v>0</v>
      </c>
      <c r="Q37" s="38">
        <f t="shared" si="10"/>
        <v>0</v>
      </c>
      <c r="R37" s="38">
        <f t="shared" si="10"/>
        <v>0</v>
      </c>
      <c r="S37" s="38">
        <f t="shared" si="10"/>
        <v>0</v>
      </c>
      <c r="T37" s="38">
        <f t="shared" si="10"/>
        <v>0</v>
      </c>
      <c r="U37" s="38">
        <f t="shared" si="10"/>
        <v>0</v>
      </c>
      <c r="V37" s="38">
        <f t="shared" si="10"/>
        <v>0</v>
      </c>
      <c r="W37" s="38">
        <f t="shared" si="10"/>
        <v>0</v>
      </c>
      <c r="X37" s="38">
        <f t="shared" si="10"/>
        <v>0</v>
      </c>
      <c r="Y37" s="38">
        <f t="shared" si="10"/>
        <v>0</v>
      </c>
      <c r="Z37" s="38">
        <f t="shared" si="10"/>
        <v>0</v>
      </c>
    </row>
    <row r="38" spans="1:26" ht="15" customHeight="1" x14ac:dyDescent="0.2">
      <c r="A38" s="30" t="s">
        <v>173</v>
      </c>
      <c r="B38" s="34" t="s">
        <v>135</v>
      </c>
      <c r="C38" s="43">
        <f t="shared" ref="C38:Z38" si="11">C34-C36-C37</f>
        <v>-15920.994133333337</v>
      </c>
      <c r="D38" s="43">
        <f t="shared" si="11"/>
        <v>-17544.027253333341</v>
      </c>
      <c r="E38" s="43">
        <f t="shared" si="11"/>
        <v>-14177.129653333333</v>
      </c>
      <c r="F38" s="43">
        <f t="shared" si="11"/>
        <v>-11920.301333333335</v>
      </c>
      <c r="G38" s="43">
        <f t="shared" si="11"/>
        <v>-11359.432533333335</v>
      </c>
      <c r="H38" s="43">
        <f t="shared" si="11"/>
        <v>-10910.737493333339</v>
      </c>
      <c r="I38" s="43">
        <f t="shared" si="11"/>
        <v>-10462.04245333333</v>
      </c>
      <c r="J38" s="43">
        <f t="shared" si="11"/>
        <v>-10125.521173333327</v>
      </c>
      <c r="K38" s="43">
        <f t="shared" si="11"/>
        <v>-9788.9998933333391</v>
      </c>
      <c r="L38" s="43">
        <f t="shared" si="11"/>
        <v>-9564.6523733333343</v>
      </c>
      <c r="M38" s="43">
        <f t="shared" si="11"/>
        <v>-9340.3048533333367</v>
      </c>
      <c r="N38" s="43">
        <f t="shared" si="11"/>
        <v>-9115.9573333333337</v>
      </c>
      <c r="O38" s="43">
        <f t="shared" si="11"/>
        <v>-9632.4786133333309</v>
      </c>
      <c r="P38" s="43">
        <f t="shared" si="11"/>
        <v>-9408.1310933333352</v>
      </c>
      <c r="Q38" s="43">
        <f t="shared" si="11"/>
        <v>-9295.9573333333337</v>
      </c>
      <c r="R38" s="43">
        <f t="shared" si="11"/>
        <v>-9071.609813333338</v>
      </c>
      <c r="S38" s="43">
        <f t="shared" si="11"/>
        <v>-8959.4360533333365</v>
      </c>
      <c r="T38" s="43">
        <f t="shared" si="11"/>
        <v>-9071.609813333338</v>
      </c>
      <c r="U38" s="43">
        <f t="shared" si="11"/>
        <v>-9295.9573333333337</v>
      </c>
      <c r="V38" s="43">
        <f t="shared" si="11"/>
        <v>-8847.2622933333387</v>
      </c>
      <c r="W38" s="43">
        <f t="shared" si="11"/>
        <v>-8735.0885333333408</v>
      </c>
      <c r="X38" s="43">
        <f t="shared" si="11"/>
        <v>-8847.2622933333387</v>
      </c>
      <c r="Y38" s="43">
        <f t="shared" si="11"/>
        <v>-8959.4360533333365</v>
      </c>
      <c r="Z38" s="43">
        <f t="shared" si="11"/>
        <v>-8622.9147733333357</v>
      </c>
    </row>
    <row r="39" spans="1:26" ht="15" customHeight="1" x14ac:dyDescent="0.2">
      <c r="A39" s="8" t="s">
        <v>174</v>
      </c>
      <c r="B39" s="34" t="s">
        <v>135</v>
      </c>
      <c r="C39" s="38">
        <f>Assumptions!$C$46/12</f>
        <v>5000</v>
      </c>
      <c r="D39" s="38">
        <f>Assumptions!$C$46/12</f>
        <v>5000</v>
      </c>
      <c r="E39" s="38">
        <f>Assumptions!$C$46/12</f>
        <v>5000</v>
      </c>
      <c r="F39" s="38">
        <f>Assumptions!$C$46/12</f>
        <v>5000</v>
      </c>
      <c r="G39" s="38">
        <f>Assumptions!$C$46/12</f>
        <v>5000</v>
      </c>
      <c r="H39" s="38">
        <f>Assumptions!$C$46/12</f>
        <v>5000</v>
      </c>
      <c r="I39" s="38">
        <f>Assumptions!$C$46/12</f>
        <v>5000</v>
      </c>
      <c r="J39" s="38">
        <f>Assumptions!$C$46/12</f>
        <v>5000</v>
      </c>
      <c r="K39" s="38">
        <f>Assumptions!$C$46/12</f>
        <v>5000</v>
      </c>
      <c r="L39" s="38">
        <f>Assumptions!$C$46/12</f>
        <v>5000</v>
      </c>
      <c r="M39" s="38">
        <f>Assumptions!$C$46/12</f>
        <v>5000</v>
      </c>
      <c r="N39" s="38">
        <f>Assumptions!$C$46/12</f>
        <v>5000</v>
      </c>
      <c r="O39" s="38">
        <f>Assumptions!$C$46/12</f>
        <v>5000</v>
      </c>
      <c r="P39" s="38">
        <f>Assumptions!$C$46/12</f>
        <v>5000</v>
      </c>
      <c r="Q39" s="38">
        <f>Assumptions!$C$46/12</f>
        <v>5000</v>
      </c>
      <c r="R39" s="38">
        <f>Assumptions!$C$46/12</f>
        <v>5000</v>
      </c>
      <c r="S39" s="38">
        <f>Assumptions!$C$46/12</f>
        <v>5000</v>
      </c>
      <c r="T39" s="38">
        <f>Assumptions!$C$46/12</f>
        <v>5000</v>
      </c>
      <c r="U39" s="38">
        <f>Assumptions!$C$46/12</f>
        <v>5000</v>
      </c>
      <c r="V39" s="38">
        <f>Assumptions!$C$46/12</f>
        <v>5000</v>
      </c>
      <c r="W39" s="38">
        <f>Assumptions!$C$46/12</f>
        <v>5000</v>
      </c>
      <c r="X39" s="38">
        <f>Assumptions!$C$46/12</f>
        <v>5000</v>
      </c>
      <c r="Y39" s="38">
        <f>Assumptions!$C$46/12</f>
        <v>5000</v>
      </c>
      <c r="Z39" s="38">
        <f>Assumptions!$C$46/12</f>
        <v>5000</v>
      </c>
    </row>
    <row r="40" spans="1:26" ht="15" customHeight="1" x14ac:dyDescent="0.2">
      <c r="A40" s="30" t="s">
        <v>175</v>
      </c>
      <c r="B40" s="34" t="s">
        <v>135</v>
      </c>
      <c r="C40" s="43">
        <f t="shared" ref="C40:Z40" si="12">C34-C37-C46-C39</f>
        <v>-11504.327466666669</v>
      </c>
      <c r="D40" s="43">
        <f t="shared" si="12"/>
        <v>-13127.360586666673</v>
      </c>
      <c r="E40" s="43">
        <f t="shared" si="12"/>
        <v>-9760.4629866666673</v>
      </c>
      <c r="F40" s="43">
        <f t="shared" si="12"/>
        <v>-7503.6346666666686</v>
      </c>
      <c r="G40" s="43">
        <f t="shared" si="12"/>
        <v>-6942.7658666666684</v>
      </c>
      <c r="H40" s="43">
        <f t="shared" si="12"/>
        <v>-6494.0708266666734</v>
      </c>
      <c r="I40" s="43">
        <f t="shared" si="12"/>
        <v>-6045.3757866666638</v>
      </c>
      <c r="J40" s="43">
        <f t="shared" si="12"/>
        <v>-5708.8545066666611</v>
      </c>
      <c r="K40" s="43">
        <f t="shared" si="12"/>
        <v>-5372.333226666673</v>
      </c>
      <c r="L40" s="43">
        <f t="shared" si="12"/>
        <v>-5147.9857066666682</v>
      </c>
      <c r="M40" s="43">
        <f t="shared" si="12"/>
        <v>-4923.6381866666707</v>
      </c>
      <c r="N40" s="43">
        <f t="shared" si="12"/>
        <v>-4699.2906666666677</v>
      </c>
      <c r="O40" s="43">
        <f t="shared" si="12"/>
        <v>-5215.8119466666649</v>
      </c>
      <c r="P40" s="43">
        <f t="shared" si="12"/>
        <v>-4991.4644266666692</v>
      </c>
      <c r="Q40" s="43">
        <f t="shared" si="12"/>
        <v>-4879.2906666666677</v>
      </c>
      <c r="R40" s="43">
        <f t="shared" si="12"/>
        <v>-4654.943146666672</v>
      </c>
      <c r="S40" s="43">
        <f t="shared" si="12"/>
        <v>-4542.7693866666705</v>
      </c>
      <c r="T40" s="43">
        <f t="shared" si="12"/>
        <v>-4654.943146666672</v>
      </c>
      <c r="U40" s="43">
        <f t="shared" si="12"/>
        <v>-4879.2906666666677</v>
      </c>
      <c r="V40" s="43">
        <f t="shared" si="12"/>
        <v>-4430.5956266666726</v>
      </c>
      <c r="W40" s="43">
        <f t="shared" si="12"/>
        <v>-4318.4218666666748</v>
      </c>
      <c r="X40" s="43">
        <f t="shared" si="12"/>
        <v>-4430.5956266666726</v>
      </c>
      <c r="Y40" s="43">
        <f t="shared" si="12"/>
        <v>-4542.7693866666705</v>
      </c>
      <c r="Z40" s="43">
        <f t="shared" si="12"/>
        <v>-4206.2481066666696</v>
      </c>
    </row>
    <row r="41" spans="1:26" ht="15" customHeight="1" x14ac:dyDescent="0.2">
      <c r="A41" s="30" t="s">
        <v>176</v>
      </c>
      <c r="B41" s="34" t="s">
        <v>135</v>
      </c>
      <c r="C41" s="37">
        <f>C40</f>
        <v>-11504.327466666669</v>
      </c>
      <c r="D41" s="37">
        <f t="shared" ref="D41:Z41" si="13">C41+D40</f>
        <v>-24631.688053333342</v>
      </c>
      <c r="E41" s="37">
        <f t="shared" si="13"/>
        <v>-34392.151040000012</v>
      </c>
      <c r="F41" s="37">
        <f t="shared" si="13"/>
        <v>-41895.785706666677</v>
      </c>
      <c r="G41" s="37">
        <f t="shared" si="13"/>
        <v>-48838.551573333345</v>
      </c>
      <c r="H41" s="37">
        <f t="shared" si="13"/>
        <v>-55332.622400000022</v>
      </c>
      <c r="I41" s="37">
        <f t="shared" si="13"/>
        <v>-61377.998186666686</v>
      </c>
      <c r="J41" s="37">
        <f t="shared" si="13"/>
        <v>-67086.852693333349</v>
      </c>
      <c r="K41" s="37">
        <f t="shared" si="13"/>
        <v>-72459.185920000018</v>
      </c>
      <c r="L41" s="37">
        <f t="shared" si="13"/>
        <v>-77607.171626666692</v>
      </c>
      <c r="M41" s="37">
        <f t="shared" si="13"/>
        <v>-82530.809813333355</v>
      </c>
      <c r="N41" s="37">
        <f t="shared" si="13"/>
        <v>-87230.100480000023</v>
      </c>
      <c r="O41" s="37">
        <f t="shared" si="13"/>
        <v>-92445.912426666691</v>
      </c>
      <c r="P41" s="37">
        <f t="shared" si="13"/>
        <v>-97437.376853333364</v>
      </c>
      <c r="Q41" s="37">
        <f t="shared" si="13"/>
        <v>-102316.66752000003</v>
      </c>
      <c r="R41" s="37">
        <f t="shared" si="13"/>
        <v>-106971.6106666667</v>
      </c>
      <c r="S41" s="37">
        <f t="shared" si="13"/>
        <v>-111514.38005333337</v>
      </c>
      <c r="T41" s="37">
        <f t="shared" si="13"/>
        <v>-116169.32320000004</v>
      </c>
      <c r="U41" s="37">
        <f t="shared" si="13"/>
        <v>-121048.61386666671</v>
      </c>
      <c r="V41" s="37">
        <f t="shared" si="13"/>
        <v>-125479.20949333339</v>
      </c>
      <c r="W41" s="37">
        <f t="shared" si="13"/>
        <v>-129797.63136000006</v>
      </c>
      <c r="X41" s="37">
        <f t="shared" si="13"/>
        <v>-134228.22698666673</v>
      </c>
      <c r="Y41" s="37">
        <f t="shared" si="13"/>
        <v>-138770.99637333342</v>
      </c>
      <c r="Z41" s="37">
        <f t="shared" si="13"/>
        <v>-142977.24448000008</v>
      </c>
    </row>
    <row r="43" spans="1:26" ht="15" customHeight="1" outlineLevel="1" x14ac:dyDescent="0.2">
      <c r="A43" s="8" t="s">
        <v>177</v>
      </c>
      <c r="B43" s="34" t="s">
        <v>135</v>
      </c>
      <c r="C43" s="45">
        <f>Assumptions!$C$62</f>
        <v>0</v>
      </c>
      <c r="D43" s="38">
        <f t="shared" ref="D43:Z43" si="14">C47</f>
        <v>0</v>
      </c>
      <c r="E43" s="38">
        <f t="shared" si="14"/>
        <v>0</v>
      </c>
      <c r="F43" s="38">
        <f t="shared" si="14"/>
        <v>0</v>
      </c>
      <c r="G43" s="38">
        <f t="shared" si="14"/>
        <v>0</v>
      </c>
      <c r="H43" s="38">
        <f t="shared" si="14"/>
        <v>0</v>
      </c>
      <c r="I43" s="38">
        <f t="shared" si="14"/>
        <v>0</v>
      </c>
      <c r="J43" s="38">
        <f t="shared" si="14"/>
        <v>0</v>
      </c>
      <c r="K43" s="38">
        <f t="shared" si="14"/>
        <v>0</v>
      </c>
      <c r="L43" s="38">
        <f t="shared" si="14"/>
        <v>0</v>
      </c>
      <c r="M43" s="38">
        <f t="shared" si="14"/>
        <v>0</v>
      </c>
      <c r="N43" s="38">
        <f t="shared" si="14"/>
        <v>0</v>
      </c>
      <c r="O43" s="38">
        <f t="shared" si="14"/>
        <v>0</v>
      </c>
      <c r="P43" s="38">
        <f t="shared" si="14"/>
        <v>0</v>
      </c>
      <c r="Q43" s="38">
        <f t="shared" si="14"/>
        <v>0</v>
      </c>
      <c r="R43" s="38">
        <f t="shared" si="14"/>
        <v>0</v>
      </c>
      <c r="S43" s="38">
        <f t="shared" si="14"/>
        <v>0</v>
      </c>
      <c r="T43" s="38">
        <f t="shared" si="14"/>
        <v>0</v>
      </c>
      <c r="U43" s="38">
        <f t="shared" si="14"/>
        <v>0</v>
      </c>
      <c r="V43" s="38">
        <f t="shared" si="14"/>
        <v>0</v>
      </c>
      <c r="W43" s="38">
        <f t="shared" si="14"/>
        <v>0</v>
      </c>
      <c r="X43" s="38">
        <f t="shared" si="14"/>
        <v>0</v>
      </c>
      <c r="Y43" s="38">
        <f t="shared" si="14"/>
        <v>0</v>
      </c>
      <c r="Z43" s="38">
        <f t="shared" si="14"/>
        <v>0</v>
      </c>
    </row>
    <row r="44" spans="1:26" ht="15" customHeight="1" outlineLevel="1" x14ac:dyDescent="0.2">
      <c r="A44" s="8" t="s">
        <v>178</v>
      </c>
      <c r="B44" s="34" t="s">
        <v>135</v>
      </c>
      <c r="C44" s="38">
        <f>IF(Assumptions!$C$62=0,0,-PMT(Assumptions!$C$63/12,Assumptions!$C$64*12,Assumptions!$C$62))</f>
        <v>0</v>
      </c>
      <c r="D44" s="38">
        <f>IF(Assumptions!$C$62=0,0,-PMT(Assumptions!$C$63/12,Assumptions!$C$64*12,Assumptions!$C$62))</f>
        <v>0</v>
      </c>
      <c r="E44" s="38">
        <f>IF(Assumptions!$C$62=0,0,-PMT(Assumptions!$C$63/12,Assumptions!$C$64*12,Assumptions!$C$62))</f>
        <v>0</v>
      </c>
      <c r="F44" s="38">
        <f>IF(Assumptions!$C$62=0,0,-PMT(Assumptions!$C$63/12,Assumptions!$C$64*12,Assumptions!$C$62))</f>
        <v>0</v>
      </c>
      <c r="G44" s="38">
        <f>IF(Assumptions!$C$62=0,0,-PMT(Assumptions!$C$63/12,Assumptions!$C$64*12,Assumptions!$C$62))</f>
        <v>0</v>
      </c>
      <c r="H44" s="38">
        <f>IF(Assumptions!$C$62=0,0,-PMT(Assumptions!$C$63/12,Assumptions!$C$64*12,Assumptions!$C$62))</f>
        <v>0</v>
      </c>
      <c r="I44" s="38">
        <f>IF(Assumptions!$C$62=0,0,-PMT(Assumptions!$C$63/12,Assumptions!$C$64*12,Assumptions!$C$62))</f>
        <v>0</v>
      </c>
      <c r="J44" s="38">
        <f>IF(Assumptions!$C$62=0,0,-PMT(Assumptions!$C$63/12,Assumptions!$C$64*12,Assumptions!$C$62))</f>
        <v>0</v>
      </c>
      <c r="K44" s="38">
        <f>IF(Assumptions!$C$62=0,0,-PMT(Assumptions!$C$63/12,Assumptions!$C$64*12,Assumptions!$C$62))</f>
        <v>0</v>
      </c>
      <c r="L44" s="38">
        <f>IF(Assumptions!$C$62=0,0,-PMT(Assumptions!$C$63/12,Assumptions!$C$64*12,Assumptions!$C$62))</f>
        <v>0</v>
      </c>
      <c r="M44" s="38">
        <f>IF(Assumptions!$C$62=0,0,-PMT(Assumptions!$C$63/12,Assumptions!$C$64*12,Assumptions!$C$62))</f>
        <v>0</v>
      </c>
      <c r="N44" s="38">
        <f>IF(Assumptions!$C$62=0,0,-PMT(Assumptions!$C$63/12,Assumptions!$C$64*12,Assumptions!$C$62))</f>
        <v>0</v>
      </c>
      <c r="O44" s="38">
        <f>IF(Assumptions!$C$62=0,0,-PMT(Assumptions!$C$63/12,Assumptions!$C$64*12,Assumptions!$C$62))</f>
        <v>0</v>
      </c>
      <c r="P44" s="38">
        <f>IF(Assumptions!$C$62=0,0,-PMT(Assumptions!$C$63/12,Assumptions!$C$64*12,Assumptions!$C$62))</f>
        <v>0</v>
      </c>
      <c r="Q44" s="38">
        <f>IF(Assumptions!$C$62=0,0,-PMT(Assumptions!$C$63/12,Assumptions!$C$64*12,Assumptions!$C$62))</f>
        <v>0</v>
      </c>
      <c r="R44" s="38">
        <f>IF(Assumptions!$C$62=0,0,-PMT(Assumptions!$C$63/12,Assumptions!$C$64*12,Assumptions!$C$62))</f>
        <v>0</v>
      </c>
      <c r="S44" s="38">
        <f>IF(Assumptions!$C$62=0,0,-PMT(Assumptions!$C$63/12,Assumptions!$C$64*12,Assumptions!$C$62))</f>
        <v>0</v>
      </c>
      <c r="T44" s="38">
        <f>IF(Assumptions!$C$62=0,0,-PMT(Assumptions!$C$63/12,Assumptions!$C$64*12,Assumptions!$C$62))</f>
        <v>0</v>
      </c>
      <c r="U44" s="38">
        <f>IF(Assumptions!$C$62=0,0,-PMT(Assumptions!$C$63/12,Assumptions!$C$64*12,Assumptions!$C$62))</f>
        <v>0</v>
      </c>
      <c r="V44" s="38">
        <f>IF(Assumptions!$C$62=0,0,-PMT(Assumptions!$C$63/12,Assumptions!$C$64*12,Assumptions!$C$62))</f>
        <v>0</v>
      </c>
      <c r="W44" s="38">
        <f>IF(Assumptions!$C$62=0,0,-PMT(Assumptions!$C$63/12,Assumptions!$C$64*12,Assumptions!$C$62))</f>
        <v>0</v>
      </c>
      <c r="X44" s="38">
        <f>IF(Assumptions!$C$62=0,0,-PMT(Assumptions!$C$63/12,Assumptions!$C$64*12,Assumptions!$C$62))</f>
        <v>0</v>
      </c>
      <c r="Y44" s="38">
        <f>IF(Assumptions!$C$62=0,0,-PMT(Assumptions!$C$63/12,Assumptions!$C$64*12,Assumptions!$C$62))</f>
        <v>0</v>
      </c>
      <c r="Z44" s="38">
        <f>IF(Assumptions!$C$62=0,0,-PMT(Assumptions!$C$63/12,Assumptions!$C$64*12,Assumptions!$C$62))</f>
        <v>0</v>
      </c>
    </row>
    <row r="45" spans="1:26" ht="15" customHeight="1" outlineLevel="1" x14ac:dyDescent="0.2">
      <c r="A45" s="8" t="s">
        <v>179</v>
      </c>
      <c r="B45" s="34" t="s">
        <v>135</v>
      </c>
      <c r="C45" s="38">
        <f>C43*Assumptions!$C$63/12</f>
        <v>0</v>
      </c>
      <c r="D45" s="38">
        <f>D43*Assumptions!$C$63/12</f>
        <v>0</v>
      </c>
      <c r="E45" s="38">
        <f>E43*Assumptions!$C$63/12</f>
        <v>0</v>
      </c>
      <c r="F45" s="38">
        <f>F43*Assumptions!$C$63/12</f>
        <v>0</v>
      </c>
      <c r="G45" s="38">
        <f>G43*Assumptions!$C$63/12</f>
        <v>0</v>
      </c>
      <c r="H45" s="38">
        <f>H43*Assumptions!$C$63/12</f>
        <v>0</v>
      </c>
      <c r="I45" s="38">
        <f>I43*Assumptions!$C$63/12</f>
        <v>0</v>
      </c>
      <c r="J45" s="38">
        <f>J43*Assumptions!$C$63/12</f>
        <v>0</v>
      </c>
      <c r="K45" s="38">
        <f>K43*Assumptions!$C$63/12</f>
        <v>0</v>
      </c>
      <c r="L45" s="38">
        <f>L43*Assumptions!$C$63/12</f>
        <v>0</v>
      </c>
      <c r="M45" s="38">
        <f>M43*Assumptions!$C$63/12</f>
        <v>0</v>
      </c>
      <c r="N45" s="38">
        <f>N43*Assumptions!$C$63/12</f>
        <v>0</v>
      </c>
      <c r="O45" s="38">
        <f>O43*Assumptions!$C$63/12</f>
        <v>0</v>
      </c>
      <c r="P45" s="38">
        <f>P43*Assumptions!$C$63/12</f>
        <v>0</v>
      </c>
      <c r="Q45" s="38">
        <f>Q43*Assumptions!$C$63/12</f>
        <v>0</v>
      </c>
      <c r="R45" s="38">
        <f>R43*Assumptions!$C$63/12</f>
        <v>0</v>
      </c>
      <c r="S45" s="38">
        <f>S43*Assumptions!$C$63/12</f>
        <v>0</v>
      </c>
      <c r="T45" s="38">
        <f>T43*Assumptions!$C$63/12</f>
        <v>0</v>
      </c>
      <c r="U45" s="38">
        <f>U43*Assumptions!$C$63/12</f>
        <v>0</v>
      </c>
      <c r="V45" s="38">
        <f>V43*Assumptions!$C$63/12</f>
        <v>0</v>
      </c>
      <c r="W45" s="38">
        <f>W43*Assumptions!$C$63/12</f>
        <v>0</v>
      </c>
      <c r="X45" s="38">
        <f>X43*Assumptions!$C$63/12</f>
        <v>0</v>
      </c>
      <c r="Y45" s="38">
        <f>Y43*Assumptions!$C$63/12</f>
        <v>0</v>
      </c>
      <c r="Z45" s="38">
        <f>Z43*Assumptions!$C$63/12</f>
        <v>0</v>
      </c>
    </row>
    <row r="46" spans="1:26" ht="15" customHeight="1" outlineLevel="1" x14ac:dyDescent="0.2">
      <c r="A46" s="8" t="s">
        <v>180</v>
      </c>
      <c r="B46" s="34" t="s">
        <v>135</v>
      </c>
      <c r="C46" s="38">
        <f t="shared" ref="C46:Z46" si="15">MIN(C43,C44-C45)</f>
        <v>0</v>
      </c>
      <c r="D46" s="38">
        <f t="shared" si="15"/>
        <v>0</v>
      </c>
      <c r="E46" s="38">
        <f t="shared" si="15"/>
        <v>0</v>
      </c>
      <c r="F46" s="38">
        <f t="shared" si="15"/>
        <v>0</v>
      </c>
      <c r="G46" s="38">
        <f t="shared" si="15"/>
        <v>0</v>
      </c>
      <c r="H46" s="38">
        <f t="shared" si="15"/>
        <v>0</v>
      </c>
      <c r="I46" s="38">
        <f t="shared" si="15"/>
        <v>0</v>
      </c>
      <c r="J46" s="38">
        <f t="shared" si="15"/>
        <v>0</v>
      </c>
      <c r="K46" s="38">
        <f t="shared" si="15"/>
        <v>0</v>
      </c>
      <c r="L46" s="38">
        <f t="shared" si="15"/>
        <v>0</v>
      </c>
      <c r="M46" s="38">
        <f t="shared" si="15"/>
        <v>0</v>
      </c>
      <c r="N46" s="38">
        <f t="shared" si="15"/>
        <v>0</v>
      </c>
      <c r="O46" s="38">
        <f t="shared" si="15"/>
        <v>0</v>
      </c>
      <c r="P46" s="38">
        <f t="shared" si="15"/>
        <v>0</v>
      </c>
      <c r="Q46" s="38">
        <f t="shared" si="15"/>
        <v>0</v>
      </c>
      <c r="R46" s="38">
        <f t="shared" si="15"/>
        <v>0</v>
      </c>
      <c r="S46" s="38">
        <f t="shared" si="15"/>
        <v>0</v>
      </c>
      <c r="T46" s="38">
        <f t="shared" si="15"/>
        <v>0</v>
      </c>
      <c r="U46" s="38">
        <f t="shared" si="15"/>
        <v>0</v>
      </c>
      <c r="V46" s="38">
        <f t="shared" si="15"/>
        <v>0</v>
      </c>
      <c r="W46" s="38">
        <f t="shared" si="15"/>
        <v>0</v>
      </c>
      <c r="X46" s="38">
        <f t="shared" si="15"/>
        <v>0</v>
      </c>
      <c r="Y46" s="38">
        <f t="shared" si="15"/>
        <v>0</v>
      </c>
      <c r="Z46" s="38">
        <f t="shared" si="15"/>
        <v>0</v>
      </c>
    </row>
    <row r="47" spans="1:26" ht="15" customHeight="1" outlineLevel="1" x14ac:dyDescent="0.2">
      <c r="A47" s="8" t="s">
        <v>181</v>
      </c>
      <c r="B47" s="34" t="s">
        <v>135</v>
      </c>
      <c r="C47" s="38">
        <f t="shared" ref="C47:Z47" si="16">C43-C46</f>
        <v>0</v>
      </c>
      <c r="D47" s="38">
        <f t="shared" si="16"/>
        <v>0</v>
      </c>
      <c r="E47" s="38">
        <f t="shared" si="16"/>
        <v>0</v>
      </c>
      <c r="F47" s="38">
        <f t="shared" si="16"/>
        <v>0</v>
      </c>
      <c r="G47" s="38">
        <f t="shared" si="16"/>
        <v>0</v>
      </c>
      <c r="H47" s="38">
        <f t="shared" si="16"/>
        <v>0</v>
      </c>
      <c r="I47" s="38">
        <f t="shared" si="16"/>
        <v>0</v>
      </c>
      <c r="J47" s="38">
        <f t="shared" si="16"/>
        <v>0</v>
      </c>
      <c r="K47" s="38">
        <f t="shared" si="16"/>
        <v>0</v>
      </c>
      <c r="L47" s="38">
        <f t="shared" si="16"/>
        <v>0</v>
      </c>
      <c r="M47" s="38">
        <f t="shared" si="16"/>
        <v>0</v>
      </c>
      <c r="N47" s="38">
        <f t="shared" si="16"/>
        <v>0</v>
      </c>
      <c r="O47" s="38">
        <f t="shared" si="16"/>
        <v>0</v>
      </c>
      <c r="P47" s="38">
        <f t="shared" si="16"/>
        <v>0</v>
      </c>
      <c r="Q47" s="38">
        <f t="shared" si="16"/>
        <v>0</v>
      </c>
      <c r="R47" s="38">
        <f t="shared" si="16"/>
        <v>0</v>
      </c>
      <c r="S47" s="38">
        <f t="shared" si="16"/>
        <v>0</v>
      </c>
      <c r="T47" s="38">
        <f t="shared" si="16"/>
        <v>0</v>
      </c>
      <c r="U47" s="38">
        <f t="shared" si="16"/>
        <v>0</v>
      </c>
      <c r="V47" s="38">
        <f t="shared" si="16"/>
        <v>0</v>
      </c>
      <c r="W47" s="38">
        <f t="shared" si="16"/>
        <v>0</v>
      </c>
      <c r="X47" s="38">
        <f t="shared" si="16"/>
        <v>0</v>
      </c>
      <c r="Y47" s="38">
        <f t="shared" si="16"/>
        <v>0</v>
      </c>
      <c r="Z47" s="38">
        <f t="shared" si="16"/>
        <v>0</v>
      </c>
    </row>
    <row r="49" spans="1:26" ht="15" customHeight="1" outlineLevel="1" x14ac:dyDescent="0.2">
      <c r="A49" s="8" t="s">
        <v>182</v>
      </c>
      <c r="B49" s="34" t="s">
        <v>133</v>
      </c>
      <c r="C49" s="33">
        <f t="shared" ref="C49:Z49" si="17">IF(C34&gt;0,C6,9999)</f>
        <v>9999</v>
      </c>
      <c r="D49" s="33">
        <f t="shared" si="17"/>
        <v>9999</v>
      </c>
      <c r="E49" s="33">
        <f t="shared" si="17"/>
        <v>9999</v>
      </c>
      <c r="F49" s="33">
        <f t="shared" si="17"/>
        <v>9999</v>
      </c>
      <c r="G49" s="33">
        <f t="shared" si="17"/>
        <v>9999</v>
      </c>
      <c r="H49" s="33">
        <f t="shared" si="17"/>
        <v>9999</v>
      </c>
      <c r="I49" s="33">
        <f t="shared" si="17"/>
        <v>9999</v>
      </c>
      <c r="J49" s="33">
        <f t="shared" si="17"/>
        <v>9999</v>
      </c>
      <c r="K49" s="33">
        <f t="shared" si="17"/>
        <v>9999</v>
      </c>
      <c r="L49" s="33">
        <f t="shared" si="17"/>
        <v>9999</v>
      </c>
      <c r="M49" s="33">
        <f t="shared" si="17"/>
        <v>11</v>
      </c>
      <c r="N49" s="33">
        <f t="shared" si="17"/>
        <v>12</v>
      </c>
      <c r="O49" s="33">
        <f t="shared" si="17"/>
        <v>9999</v>
      </c>
      <c r="P49" s="33">
        <f t="shared" si="17"/>
        <v>14</v>
      </c>
      <c r="Q49" s="33">
        <f t="shared" si="17"/>
        <v>15</v>
      </c>
      <c r="R49" s="33">
        <f t="shared" si="17"/>
        <v>16</v>
      </c>
      <c r="S49" s="33">
        <f t="shared" si="17"/>
        <v>17</v>
      </c>
      <c r="T49" s="33">
        <f t="shared" si="17"/>
        <v>18</v>
      </c>
      <c r="U49" s="33">
        <f t="shared" si="17"/>
        <v>19</v>
      </c>
      <c r="V49" s="33">
        <f t="shared" si="17"/>
        <v>20</v>
      </c>
      <c r="W49" s="33">
        <f t="shared" si="17"/>
        <v>21</v>
      </c>
      <c r="X49" s="33">
        <f t="shared" si="17"/>
        <v>22</v>
      </c>
      <c r="Y49" s="33">
        <f t="shared" si="17"/>
        <v>23</v>
      </c>
      <c r="Z49" s="33">
        <f t="shared" si="17"/>
        <v>24</v>
      </c>
    </row>
    <row r="50" spans="1:26" ht="15" customHeight="1" outlineLevel="1" x14ac:dyDescent="0.2">
      <c r="A50" s="8" t="s">
        <v>183</v>
      </c>
      <c r="B50" s="34" t="s">
        <v>133</v>
      </c>
      <c r="C50" s="33">
        <f t="shared" ref="C50:Z50" si="18">IF(C41&gt;0,C6,9999)</f>
        <v>9999</v>
      </c>
      <c r="D50" s="33">
        <f t="shared" si="18"/>
        <v>9999</v>
      </c>
      <c r="E50" s="33">
        <f t="shared" si="18"/>
        <v>9999</v>
      </c>
      <c r="F50" s="33">
        <f t="shared" si="18"/>
        <v>9999</v>
      </c>
      <c r="G50" s="33">
        <f t="shared" si="18"/>
        <v>9999</v>
      </c>
      <c r="H50" s="33">
        <f t="shared" si="18"/>
        <v>9999</v>
      </c>
      <c r="I50" s="33">
        <f t="shared" si="18"/>
        <v>9999</v>
      </c>
      <c r="J50" s="33">
        <f t="shared" si="18"/>
        <v>9999</v>
      </c>
      <c r="K50" s="33">
        <f t="shared" si="18"/>
        <v>9999</v>
      </c>
      <c r="L50" s="33">
        <f t="shared" si="18"/>
        <v>9999</v>
      </c>
      <c r="M50" s="33">
        <f t="shared" si="18"/>
        <v>9999</v>
      </c>
      <c r="N50" s="33">
        <f t="shared" si="18"/>
        <v>9999</v>
      </c>
      <c r="O50" s="33">
        <f t="shared" si="18"/>
        <v>9999</v>
      </c>
      <c r="P50" s="33">
        <f t="shared" si="18"/>
        <v>9999</v>
      </c>
      <c r="Q50" s="33">
        <f t="shared" si="18"/>
        <v>9999</v>
      </c>
      <c r="R50" s="33">
        <f t="shared" si="18"/>
        <v>9999</v>
      </c>
      <c r="S50" s="33">
        <f t="shared" si="18"/>
        <v>9999</v>
      </c>
      <c r="T50" s="33">
        <f t="shared" si="18"/>
        <v>9999</v>
      </c>
      <c r="U50" s="33">
        <f t="shared" si="18"/>
        <v>9999</v>
      </c>
      <c r="V50" s="33">
        <f t="shared" si="18"/>
        <v>9999</v>
      </c>
      <c r="W50" s="33">
        <f t="shared" si="18"/>
        <v>9999</v>
      </c>
      <c r="X50" s="33">
        <f t="shared" si="18"/>
        <v>9999</v>
      </c>
      <c r="Y50" s="33">
        <f t="shared" si="18"/>
        <v>9999</v>
      </c>
      <c r="Z50" s="33">
        <f t="shared" si="18"/>
        <v>9999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39"/>
  <sheetViews>
    <sheetView showGridLines="0" tabSelected="1" topLeftCell="A3" zoomScaleNormal="100" workbookViewId="0">
      <selection activeCell="C13" sqref="C13"/>
    </sheetView>
  </sheetViews>
  <sheetFormatPr baseColWidth="10" defaultColWidth="8.6640625" defaultRowHeight="15" x14ac:dyDescent="0.2"/>
  <cols>
    <col min="1" max="1" width="3" customWidth="1"/>
    <col min="2" max="2" width="44" customWidth="1"/>
    <col min="3" max="3" width="15" customWidth="1"/>
    <col min="4" max="4" width="2" customWidth="1"/>
    <col min="5" max="5" width="52" customWidth="1"/>
  </cols>
  <sheetData>
    <row r="2" spans="1:5" ht="17.25" customHeight="1" x14ac:dyDescent="0.2">
      <c r="B2" s="12" t="s">
        <v>184</v>
      </c>
    </row>
    <row r="3" spans="1:5" ht="15" customHeight="1" x14ac:dyDescent="0.2">
      <c r="B3" s="6" t="s">
        <v>185</v>
      </c>
    </row>
    <row r="5" spans="1:5" ht="15" customHeight="1" x14ac:dyDescent="0.2">
      <c r="A5" s="13" t="s">
        <v>186</v>
      </c>
      <c r="B5" s="14"/>
      <c r="C5" s="14"/>
      <c r="D5" s="14"/>
      <c r="E5" s="14"/>
    </row>
    <row r="6" spans="1:5" ht="15" customHeight="1" x14ac:dyDescent="0.2">
      <c r="B6" s="8" t="s">
        <v>187</v>
      </c>
      <c r="C6" s="46">
        <v>90</v>
      </c>
      <c r="E6" s="6" t="s">
        <v>188</v>
      </c>
    </row>
    <row r="7" spans="1:5" ht="15" customHeight="1" x14ac:dyDescent="0.2">
      <c r="B7" s="8" t="s">
        <v>189</v>
      </c>
      <c r="C7" s="47">
        <f>C6*Assumptions!$C$16</f>
        <v>108000</v>
      </c>
      <c r="E7" s="6" t="s">
        <v>190</v>
      </c>
    </row>
    <row r="8" spans="1:5" ht="15" customHeight="1" x14ac:dyDescent="0.2">
      <c r="B8" s="8" t="s">
        <v>191</v>
      </c>
      <c r="C8" s="46">
        <v>18000</v>
      </c>
      <c r="E8" s="6" t="s">
        <v>192</v>
      </c>
    </row>
    <row r="9" spans="1:5" ht="15" customHeight="1" x14ac:dyDescent="0.2">
      <c r="B9" s="8" t="s">
        <v>193</v>
      </c>
      <c r="C9" s="46">
        <v>72000</v>
      </c>
      <c r="E9" s="6" t="s">
        <v>194</v>
      </c>
    </row>
    <row r="10" spans="1:5" ht="15" customHeight="1" x14ac:dyDescent="0.2">
      <c r="B10" s="8" t="s">
        <v>195</v>
      </c>
      <c r="C10" s="46">
        <v>38000</v>
      </c>
    </row>
    <row r="11" spans="1:5" ht="15" customHeight="1" x14ac:dyDescent="0.2">
      <c r="B11" s="8" t="s">
        <v>196</v>
      </c>
      <c r="C11" s="46">
        <v>8000</v>
      </c>
    </row>
    <row r="12" spans="1:5" ht="15" customHeight="1" x14ac:dyDescent="0.2">
      <c r="B12" s="8" t="s">
        <v>197</v>
      </c>
      <c r="C12" s="46">
        <v>10000</v>
      </c>
    </row>
    <row r="13" spans="1:5" ht="15" customHeight="1" x14ac:dyDescent="0.2">
      <c r="B13" s="8" t="s">
        <v>198</v>
      </c>
      <c r="C13" s="46">
        <v>4000</v>
      </c>
      <c r="E13" s="6" t="s">
        <v>199</v>
      </c>
    </row>
    <row r="14" spans="1:5" ht="15" customHeight="1" x14ac:dyDescent="0.2">
      <c r="B14" s="8" t="s">
        <v>200</v>
      </c>
      <c r="C14" s="46">
        <v>6000</v>
      </c>
    </row>
    <row r="15" spans="1:5" ht="15" customHeight="1" x14ac:dyDescent="0.2">
      <c r="B15" s="8" t="s">
        <v>201</v>
      </c>
      <c r="C15" s="46">
        <v>10000</v>
      </c>
    </row>
    <row r="16" spans="1:5" ht="15" customHeight="1" x14ac:dyDescent="0.2">
      <c r="B16" s="8" t="s">
        <v>202</v>
      </c>
      <c r="C16" s="46">
        <v>10000</v>
      </c>
    </row>
    <row r="17" spans="1:5" ht="15" customHeight="1" x14ac:dyDescent="0.2">
      <c r="B17" s="8" t="s">
        <v>203</v>
      </c>
      <c r="C17" s="47">
        <f>Assumptions!$C$22</f>
        <v>6000</v>
      </c>
      <c r="E17" s="6" t="s">
        <v>204</v>
      </c>
    </row>
    <row r="18" spans="1:5" ht="15" customHeight="1" x14ac:dyDescent="0.2">
      <c r="B18" s="8" t="s">
        <v>205</v>
      </c>
      <c r="C18" s="46">
        <v>12000</v>
      </c>
      <c r="E18" s="6" t="s">
        <v>206</v>
      </c>
    </row>
    <row r="19" spans="1:5" ht="15" customHeight="1" x14ac:dyDescent="0.2">
      <c r="B19" s="8" t="s">
        <v>207</v>
      </c>
      <c r="C19" s="47">
        <f>Assumptions!$C$19*Assumptions!$C$22</f>
        <v>180</v>
      </c>
      <c r="E19" s="6" t="s">
        <v>208</v>
      </c>
    </row>
    <row r="20" spans="1:5" ht="15" customHeight="1" x14ac:dyDescent="0.2">
      <c r="B20" s="8" t="s">
        <v>209</v>
      </c>
      <c r="C20" s="48">
        <f>0.15*(C7+C9+C10+C11)</f>
        <v>33900</v>
      </c>
      <c r="E20" s="6" t="s">
        <v>210</v>
      </c>
    </row>
    <row r="22" spans="1:5" ht="15" customHeight="1" x14ac:dyDescent="0.2">
      <c r="B22" s="30" t="s">
        <v>211</v>
      </c>
      <c r="C22" s="49">
        <f>C7+SUM(C8:C20)</f>
        <v>336080</v>
      </c>
    </row>
    <row r="23" spans="1:5" ht="15" customHeight="1" x14ac:dyDescent="0.2">
      <c r="B23" s="30" t="s">
        <v>212</v>
      </c>
      <c r="C23" s="49">
        <f>MAX(0,-MIN('P&amp;L Monthly'!C41:Z41))+Assumptions!$C$65</f>
        <v>167977.24448000008</v>
      </c>
      <c r="E23" s="6" t="s">
        <v>213</v>
      </c>
    </row>
    <row r="24" spans="1:5" ht="15" customHeight="1" x14ac:dyDescent="0.2">
      <c r="B24" s="30" t="s">
        <v>214</v>
      </c>
      <c r="C24" s="50">
        <f>C22+C23</f>
        <v>504057.24448000011</v>
      </c>
    </row>
    <row r="26" spans="1:5" ht="15" customHeight="1" x14ac:dyDescent="0.2">
      <c r="A26" s="13" t="s">
        <v>215</v>
      </c>
      <c r="B26" s="14"/>
      <c r="C26" s="14"/>
      <c r="D26" s="14"/>
      <c r="E26" s="14"/>
    </row>
    <row r="27" spans="1:5" ht="15" customHeight="1" x14ac:dyDescent="0.2">
      <c r="B27" s="8" t="s">
        <v>216</v>
      </c>
      <c r="C27" s="48">
        <f>C7+C9+C10+C11</f>
        <v>226000</v>
      </c>
    </row>
    <row r="28" spans="1:5" ht="15" customHeight="1" x14ac:dyDescent="0.2">
      <c r="B28" s="8" t="s">
        <v>217</v>
      </c>
      <c r="C28" s="51">
        <f>Assumptions!$C$18</f>
        <v>24</v>
      </c>
    </row>
    <row r="30" spans="1:5" ht="15" customHeight="1" x14ac:dyDescent="0.2">
      <c r="A30" s="13" t="s">
        <v>218</v>
      </c>
      <c r="B30" s="14"/>
      <c r="C30" s="14"/>
      <c r="D30" s="14"/>
      <c r="E30" s="14"/>
    </row>
    <row r="31" spans="1:5" ht="15" customHeight="1" x14ac:dyDescent="0.2">
      <c r="B31" s="8" t="s">
        <v>219</v>
      </c>
      <c r="C31" s="47">
        <f>Assumptions!$C$62</f>
        <v>0</v>
      </c>
    </row>
    <row r="32" spans="1:5" ht="15" customHeight="1" x14ac:dyDescent="0.2">
      <c r="B32" s="8" t="s">
        <v>220</v>
      </c>
      <c r="C32" s="49">
        <f>C24-C31</f>
        <v>504057.24448000011</v>
      </c>
    </row>
    <row r="33" spans="2:3" ht="15" customHeight="1" x14ac:dyDescent="0.2">
      <c r="B33" s="30" t="s">
        <v>221</v>
      </c>
      <c r="C33" s="50">
        <f>C31+C32</f>
        <v>504057.24448000011</v>
      </c>
    </row>
    <row r="34" spans="2:3" ht="15" customHeight="1" x14ac:dyDescent="0.2">
      <c r="B34" s="34" t="s">
        <v>222</v>
      </c>
      <c r="C34" s="48">
        <f>C33-C24</f>
        <v>0</v>
      </c>
    </row>
    <row r="36" spans="2:3" ht="15" customHeight="1" x14ac:dyDescent="0.2">
      <c r="B36" s="6" t="s">
        <v>223</v>
      </c>
      <c r="C36" s="52">
        <f>C27</f>
        <v>226000</v>
      </c>
    </row>
    <row r="38" spans="2:3" ht="15" customHeight="1" x14ac:dyDescent="0.2">
      <c r="B38" s="6" t="s">
        <v>224</v>
      </c>
      <c r="C38" s="52">
        <f>C24</f>
        <v>504057.24448000011</v>
      </c>
    </row>
    <row r="39" spans="2:3" ht="15" customHeight="1" x14ac:dyDescent="0.2">
      <c r="B39" s="6" t="s">
        <v>225</v>
      </c>
      <c r="C39" s="52">
        <f>C32</f>
        <v>504057.24448000011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45"/>
  <sheetViews>
    <sheetView showGridLines="0" zoomScaleNormal="100" workbookViewId="0"/>
  </sheetViews>
  <sheetFormatPr baseColWidth="10" defaultColWidth="8.6640625" defaultRowHeight="15" x14ac:dyDescent="0.2"/>
  <cols>
    <col min="1" max="1" width="40" customWidth="1"/>
    <col min="2" max="2" width="2" customWidth="1"/>
    <col min="3" max="5" width="16" customWidth="1"/>
    <col min="6" max="6" width="48" customWidth="1"/>
  </cols>
  <sheetData>
    <row r="2" spans="1:6" ht="17.25" customHeight="1" x14ac:dyDescent="0.2">
      <c r="A2" s="12" t="s">
        <v>226</v>
      </c>
    </row>
    <row r="3" spans="1:6" ht="15" customHeight="1" x14ac:dyDescent="0.2">
      <c r="A3" s="6" t="s">
        <v>227</v>
      </c>
    </row>
    <row r="5" spans="1:6" ht="15" customHeight="1" x14ac:dyDescent="0.2">
      <c r="A5" s="13" t="s">
        <v>228</v>
      </c>
      <c r="B5" s="14"/>
      <c r="C5" s="53" t="s">
        <v>229</v>
      </c>
      <c r="D5" s="53" t="s">
        <v>230</v>
      </c>
      <c r="E5" s="53" t="s">
        <v>231</v>
      </c>
      <c r="F5" s="14"/>
    </row>
    <row r="6" spans="1:6" ht="15" customHeight="1" x14ac:dyDescent="0.2">
      <c r="A6" s="30" t="s">
        <v>143</v>
      </c>
      <c r="C6" s="54">
        <f>SUM('P&amp;L Monthly'!C7:N7)</f>
        <v>548097</v>
      </c>
      <c r="D6" s="54">
        <f>SUM('P&amp;L Monthly'!O7:Z7)</f>
        <v>687225</v>
      </c>
      <c r="E6" s="54">
        <f>'P&amp;L Monthly'!Z7*12</f>
        <v>713592.00000000012</v>
      </c>
    </row>
    <row r="7" spans="1:6" ht="15" customHeight="1" x14ac:dyDescent="0.2">
      <c r="A7" s="8" t="s">
        <v>146</v>
      </c>
      <c r="C7" s="55">
        <f>SUM('P&amp;L Monthly'!C11:N11)</f>
        <v>183612.49500000002</v>
      </c>
      <c r="D7" s="55">
        <f>SUM('P&amp;L Monthly'!O11:Z11)</f>
        <v>230220.37500000003</v>
      </c>
      <c r="E7" s="55">
        <f>'P&amp;L Monthly'!Z11*12</f>
        <v>239053.32000000007</v>
      </c>
    </row>
    <row r="8" spans="1:6" ht="15" customHeight="1" x14ac:dyDescent="0.2">
      <c r="A8" s="30" t="s">
        <v>147</v>
      </c>
      <c r="C8" s="54">
        <f>SUM('P&amp;L Monthly'!C12:N12)</f>
        <v>364484.50499999995</v>
      </c>
      <c r="D8" s="54">
        <f>SUM('P&amp;L Monthly'!O12:Z12)</f>
        <v>457004.62500000006</v>
      </c>
      <c r="E8" s="54">
        <f>'P&amp;L Monthly'!Z12*12</f>
        <v>474538.68</v>
      </c>
    </row>
    <row r="9" spans="1:6" ht="15" customHeight="1" x14ac:dyDescent="0.2">
      <c r="A9" s="8" t="s">
        <v>154</v>
      </c>
      <c r="C9" s="55">
        <f>SUM('P&amp;L Monthly'!C18:N18)</f>
        <v>210855.99600000001</v>
      </c>
      <c r="D9" s="55">
        <f>SUM('P&amp;L Monthly'!O18:Z18)</f>
        <v>250532.09999999995</v>
      </c>
      <c r="E9" s="55">
        <f>'P&amp;L Monthly'!Z18*12</f>
        <v>260144.35200000004</v>
      </c>
    </row>
    <row r="10" spans="1:6" ht="15" customHeight="1" x14ac:dyDescent="0.2">
      <c r="A10" s="30" t="s">
        <v>232</v>
      </c>
      <c r="C10" s="54">
        <f>SUM('P&amp;L Monthly'!C20:N20)</f>
        <v>394468.49099999992</v>
      </c>
      <c r="D10" s="54">
        <f>SUM('P&amp;L Monthly'!O20:Z20)</f>
        <v>480752.47499999998</v>
      </c>
      <c r="E10" s="54">
        <f>'P&amp;L Monthly'!Z20*12</f>
        <v>499197.67200000014</v>
      </c>
    </row>
    <row r="11" spans="1:6" ht="15" customHeight="1" x14ac:dyDescent="0.2">
      <c r="A11" s="8" t="s">
        <v>168</v>
      </c>
      <c r="C11" s="55">
        <f>SUM('P&amp;L Monthly'!C33:N33)</f>
        <v>180858.60947999998</v>
      </c>
      <c r="D11" s="55">
        <f>SUM('P&amp;L Monthly'!O33:Z33)</f>
        <v>202219.66899999999</v>
      </c>
      <c r="E11" s="55">
        <f>'P&amp;L Monthly'!Z33*12</f>
        <v>204869.30527999997</v>
      </c>
    </row>
    <row r="12" spans="1:6" ht="15" customHeight="1" x14ac:dyDescent="0.2">
      <c r="A12" s="30" t="s">
        <v>233</v>
      </c>
      <c r="C12" s="54">
        <f>SUM('P&amp;L Monthly'!C34:N34)</f>
        <v>-27230.10048000003</v>
      </c>
      <c r="D12" s="54">
        <f>SUM('P&amp;L Monthly'!O34:Z34)</f>
        <v>4252.8559999999561</v>
      </c>
      <c r="E12" s="54">
        <f>'P&amp;L Monthly'!Z34*12</f>
        <v>9525.0227199999645</v>
      </c>
    </row>
    <row r="13" spans="1:6" ht="15" customHeight="1" x14ac:dyDescent="0.2">
      <c r="A13" s="8" t="s">
        <v>234</v>
      </c>
      <c r="C13" s="55">
        <f>SUM('P&amp;L Monthly'!C39:N39)</f>
        <v>60000</v>
      </c>
      <c r="D13" s="55">
        <f>SUM('P&amp;L Monthly'!O39:Z39)</f>
        <v>60000</v>
      </c>
      <c r="E13" s="55">
        <f>'P&amp;L Monthly'!Z39*12</f>
        <v>60000</v>
      </c>
    </row>
    <row r="14" spans="1:6" ht="15" customHeight="1" x14ac:dyDescent="0.2">
      <c r="A14" s="30" t="s">
        <v>175</v>
      </c>
      <c r="C14" s="54">
        <f>SUM('P&amp;L Monthly'!C40:N40)</f>
        <v>-87230.100480000023</v>
      </c>
      <c r="D14" s="54">
        <f>SUM('P&amp;L Monthly'!O40:Z40)</f>
        <v>-55747.144000000044</v>
      </c>
      <c r="E14" s="54">
        <f>'P&amp;L Monthly'!Z40*12</f>
        <v>-50474.977280000036</v>
      </c>
    </row>
    <row r="16" spans="1:6" ht="15" customHeight="1" x14ac:dyDescent="0.2">
      <c r="A16" s="13" t="s">
        <v>235</v>
      </c>
      <c r="B16" s="14"/>
      <c r="C16" s="14"/>
      <c r="D16" s="14"/>
      <c r="E16" s="14"/>
      <c r="F16" s="14"/>
    </row>
    <row r="17" spans="1:6" ht="15" customHeight="1" x14ac:dyDescent="0.2">
      <c r="A17" s="8" t="s">
        <v>236</v>
      </c>
      <c r="C17" s="56">
        <f>IF(C6=0,0,C8/C6)</f>
        <v>0.66499999999999992</v>
      </c>
      <c r="D17" s="56">
        <f>IF(D6=0,0,D8/D6)</f>
        <v>0.66500000000000004</v>
      </c>
      <c r="E17" s="56">
        <f>IF(E6=0,0,E8/E6)</f>
        <v>0.66499999999999992</v>
      </c>
    </row>
    <row r="18" spans="1:6" ht="15" customHeight="1" x14ac:dyDescent="0.2">
      <c r="A18" s="8" t="s">
        <v>237</v>
      </c>
      <c r="C18" s="56">
        <f>IF(C6=0,0,C7/C6)</f>
        <v>0.33500000000000002</v>
      </c>
      <c r="D18" s="56">
        <f>IF(D6=0,0,D7/D6)</f>
        <v>0.33500000000000002</v>
      </c>
      <c r="E18" s="56">
        <f>IF(E6=0,0,E7/E6)</f>
        <v>0.33500000000000002</v>
      </c>
    </row>
    <row r="19" spans="1:6" ht="15" customHeight="1" x14ac:dyDescent="0.2">
      <c r="A19" s="8" t="s">
        <v>238</v>
      </c>
      <c r="C19" s="56">
        <f>IF(C6=0,0,C9/C6)</f>
        <v>0.38470561962572319</v>
      </c>
      <c r="D19" s="56">
        <f>IF(D6=0,0,D9/D6)</f>
        <v>0.36455614973262024</v>
      </c>
      <c r="E19" s="56">
        <f>IF(E6=0,0,E9/E6)</f>
        <v>0.36455614973262029</v>
      </c>
    </row>
    <row r="20" spans="1:6" ht="15" customHeight="1" x14ac:dyDescent="0.2">
      <c r="A20" s="8" t="s">
        <v>239</v>
      </c>
      <c r="C20" s="56">
        <f>IF(C6=0,0,C10/C6)</f>
        <v>0.71970561962572299</v>
      </c>
      <c r="D20" s="56">
        <f>IF(D6=0,0,D10/D6)</f>
        <v>0.69955614973262026</v>
      </c>
      <c r="E20" s="56">
        <f>IF(E6=0,0,E10/E6)</f>
        <v>0.69955614973262037</v>
      </c>
    </row>
    <row r="21" spans="1:6" ht="15" customHeight="1" x14ac:dyDescent="0.2">
      <c r="A21" s="8" t="s">
        <v>240</v>
      </c>
      <c r="C21" s="56">
        <f>IF(C6=0,0,C11/C6)</f>
        <v>0.32997555082403296</v>
      </c>
      <c r="D21" s="56">
        <f>IF(D6=0,0,D11/D6)</f>
        <v>0.29425540252464621</v>
      </c>
      <c r="E21" s="56">
        <f>IF(E6=0,0,E11/E6)</f>
        <v>0.28709585488626543</v>
      </c>
    </row>
    <row r="24" spans="1:6" ht="15" customHeight="1" x14ac:dyDescent="0.2">
      <c r="A24" s="30" t="s">
        <v>241</v>
      </c>
      <c r="C24" s="57">
        <f>C12</f>
        <v>-27230.10048000003</v>
      </c>
      <c r="D24" s="57">
        <f>D12</f>
        <v>4252.8559999999561</v>
      </c>
      <c r="E24" s="57">
        <f>E12</f>
        <v>9525.0227199999645</v>
      </c>
    </row>
    <row r="26" spans="1:6" ht="15" customHeight="1" x14ac:dyDescent="0.2">
      <c r="A26" s="30" t="s">
        <v>242</v>
      </c>
      <c r="C26" s="58">
        <f>IF(C6=0,0,C12/C6)</f>
        <v>-4.9681170449756208E-2</v>
      </c>
      <c r="D26" s="58">
        <f>IF(D6=0,0,D12/D6)</f>
        <v>6.1884477427333936E-3</v>
      </c>
      <c r="E26" s="58">
        <f>IF(E6=0,0,E12/E6)</f>
        <v>1.3347995381114086E-2</v>
      </c>
    </row>
    <row r="28" spans="1:6" ht="15" customHeight="1" x14ac:dyDescent="0.2">
      <c r="A28" s="13" t="s">
        <v>243</v>
      </c>
      <c r="B28" s="14"/>
      <c r="C28" s="14"/>
      <c r="D28" s="14"/>
      <c r="E28" s="14"/>
      <c r="F28" s="14"/>
    </row>
    <row r="29" spans="1:6" ht="15" customHeight="1" x14ac:dyDescent="0.2">
      <c r="A29" s="8" t="s">
        <v>244</v>
      </c>
      <c r="C29" s="54">
        <f>D6/Assumptions!$C$16</f>
        <v>572.6875</v>
      </c>
      <c r="F29" s="6" t="s">
        <v>245</v>
      </c>
    </row>
    <row r="30" spans="1:6" ht="15" customHeight="1" x14ac:dyDescent="0.2">
      <c r="A30" s="8" t="s">
        <v>246</v>
      </c>
      <c r="C30" s="54">
        <f>D24/Assumptions!$C$16</f>
        <v>3.5440466666666302</v>
      </c>
    </row>
    <row r="31" spans="1:6" ht="15" customHeight="1" x14ac:dyDescent="0.2">
      <c r="A31" s="8" t="s">
        <v>247</v>
      </c>
      <c r="C31" s="54">
        <f>D24+D13</f>
        <v>64252.855999999956</v>
      </c>
      <c r="F31" s="6" t="s">
        <v>248</v>
      </c>
    </row>
    <row r="32" spans="1:6" ht="15" customHeight="1" x14ac:dyDescent="0.2">
      <c r="A32" s="8" t="s">
        <v>224</v>
      </c>
      <c r="C32" s="54">
        <f>'Startup &amp; Funding'!C24</f>
        <v>504057.24448000011</v>
      </c>
      <c r="F32" s="6" t="s">
        <v>249</v>
      </c>
    </row>
    <row r="33" spans="1:6" ht="15" customHeight="1" x14ac:dyDescent="0.2">
      <c r="A33" s="8" t="s">
        <v>225</v>
      </c>
      <c r="C33" s="54">
        <f>'Startup &amp; Funding'!C32</f>
        <v>504057.24448000011</v>
      </c>
    </row>
    <row r="34" spans="1:6" ht="15" customHeight="1" x14ac:dyDescent="0.2">
      <c r="A34" s="8" t="s">
        <v>250</v>
      </c>
      <c r="C34" s="54">
        <f>-MIN('P&amp;L Monthly'!C41:Z41)</f>
        <v>142977.24448000008</v>
      </c>
      <c r="F34" s="6" t="s">
        <v>251</v>
      </c>
    </row>
    <row r="35" spans="1:6" ht="15" customHeight="1" x14ac:dyDescent="0.2">
      <c r="A35" s="8" t="s">
        <v>252</v>
      </c>
      <c r="C35" s="59">
        <f>D24/'Startup &amp; Funding'!C24</f>
        <v>8.4372480438949429E-3</v>
      </c>
      <c r="F35" s="6" t="s">
        <v>253</v>
      </c>
    </row>
    <row r="36" spans="1:6" ht="15" customHeight="1" x14ac:dyDescent="0.2">
      <c r="A36" s="8" t="s">
        <v>254</v>
      </c>
      <c r="C36" s="59">
        <f>(D24+D13)/'Startup &amp; Funding'!C24</f>
        <v>0.12747134716074768</v>
      </c>
      <c r="F36" s="6" t="s">
        <v>255</v>
      </c>
    </row>
    <row r="38" spans="1:6" ht="15" customHeight="1" x14ac:dyDescent="0.2">
      <c r="A38" s="13" t="s">
        <v>256</v>
      </c>
      <c r="B38" s="14"/>
      <c r="C38" s="14"/>
      <c r="D38" s="14"/>
      <c r="E38" s="14"/>
      <c r="F38" s="14"/>
    </row>
    <row r="39" spans="1:6" ht="15" customHeight="1" x14ac:dyDescent="0.2">
      <c r="A39" s="8" t="s">
        <v>257</v>
      </c>
      <c r="C39" s="60">
        <f>Assumptions!$F$10*Assumptions!$F$11</f>
        <v>1870</v>
      </c>
    </row>
    <row r="40" spans="1:6" ht="15" customHeight="1" x14ac:dyDescent="0.2">
      <c r="A40" s="8" t="s">
        <v>258</v>
      </c>
      <c r="C40" s="61">
        <f>C39*Assumptions!$C$25/12</f>
        <v>56100</v>
      </c>
    </row>
    <row r="41" spans="1:6" ht="15" customHeight="1" x14ac:dyDescent="0.2">
      <c r="A41" s="8" t="s">
        <v>259</v>
      </c>
      <c r="C41" s="61">
        <f>'P&amp;L Monthly'!Z23+Assumptions!$C$51/12+'P&amp;L Monthly'!Z18+Assumptions!$C$54+Assumptions!$C$55+Assumptions!$C$56+Assumptions!$C$58+Assumptions!$C$59</f>
        <v>32775.362666666668</v>
      </c>
    </row>
    <row r="42" spans="1:6" ht="15" customHeight="1" x14ac:dyDescent="0.2">
      <c r="A42" s="8" t="s">
        <v>260</v>
      </c>
      <c r="C42" s="62">
        <f>1-Assumptions!$C$38-Assumptions!$C$52*Assumptions!$C$53-Assumptions!$C$57</f>
        <v>0.60016000000000003</v>
      </c>
    </row>
    <row r="43" spans="1:6" ht="15" customHeight="1" x14ac:dyDescent="0.2">
      <c r="A43" s="8" t="s">
        <v>261</v>
      </c>
      <c r="C43" s="57">
        <f>IF(C42&lt;=0,0,C41/C42)</f>
        <v>54611.041500044434</v>
      </c>
      <c r="F43" s="6" t="s">
        <v>262</v>
      </c>
    </row>
    <row r="44" spans="1:6" ht="15" customHeight="1" x14ac:dyDescent="0.2">
      <c r="A44" s="8" t="s">
        <v>17</v>
      </c>
      <c r="C44" s="63">
        <f>MIN('P&amp;L Monthly'!C49:Z49)</f>
        <v>11</v>
      </c>
      <c r="F44" s="6" t="s">
        <v>263</v>
      </c>
    </row>
    <row r="45" spans="1:6" ht="15" customHeight="1" x14ac:dyDescent="0.2">
      <c r="A45" s="8" t="s">
        <v>18</v>
      </c>
      <c r="C45" s="63">
        <f>MIN('P&amp;L Monthly'!C50:Z50)</f>
        <v>9999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24"/>
  <sheetViews>
    <sheetView showGridLines="0" zoomScaleNormal="100" workbookViewId="0"/>
  </sheetViews>
  <sheetFormatPr baseColWidth="10" defaultColWidth="8.6640625" defaultRowHeight="15" x14ac:dyDescent="0.2"/>
  <cols>
    <col min="1" max="1" width="26" customWidth="1"/>
    <col min="2" max="2" width="3" customWidth="1"/>
    <col min="3" max="8" width="13" customWidth="1"/>
  </cols>
  <sheetData>
    <row r="2" spans="1:8" ht="17.25" customHeight="1" x14ac:dyDescent="0.2">
      <c r="A2" s="12" t="s">
        <v>264</v>
      </c>
    </row>
    <row r="3" spans="1:8" ht="15" customHeight="1" x14ac:dyDescent="0.2">
      <c r="A3" s="6" t="s">
        <v>265</v>
      </c>
    </row>
    <row r="5" spans="1:8" ht="15" customHeight="1" x14ac:dyDescent="0.2">
      <c r="A5" s="13" t="s">
        <v>266</v>
      </c>
      <c r="B5" s="14"/>
      <c r="C5" s="14"/>
      <c r="D5" s="14"/>
      <c r="E5" s="14"/>
      <c r="F5" s="14"/>
      <c r="G5" s="14"/>
      <c r="H5" s="14"/>
    </row>
    <row r="6" spans="1:8" ht="15" customHeight="1" x14ac:dyDescent="0.2">
      <c r="A6" s="64" t="s">
        <v>267</v>
      </c>
      <c r="C6" s="65">
        <v>7</v>
      </c>
      <c r="D6" s="65">
        <v>7.75</v>
      </c>
      <c r="E6" s="65">
        <v>8.5</v>
      </c>
      <c r="F6" s="65">
        <v>9.25</v>
      </c>
      <c r="G6" s="65">
        <v>10</v>
      </c>
    </row>
    <row r="7" spans="1:8" ht="15" customHeight="1" x14ac:dyDescent="0.2">
      <c r="A7" s="66">
        <v>150</v>
      </c>
      <c r="B7" s="67"/>
      <c r="C7" s="68">
        <f>($A7*C$6*Assumptions!$C$25)-($A7*C$6*Assumptions!$C$25)*Assumptions!$C$38-(Assumptions!$C$41*52*Assumptions!$C$42*(1+Assumptions!$C$44)+Assumptions!$C$45)-Assumptions!$F$12*Assumptions!$C$16-Assumptions!$C$50*12-Assumptions!$C$51-($A7*C$6*Assumptions!$C$25)*Assumptions!$C$53*Assumptions!$C$52-Assumptions!$C$54*12-Assumptions!$C$55*12-Assumptions!$C$56*12-($A7*C$6*Assumptions!$C$25)*Assumptions!$C$57-Assumptions!$C$58*12-Assumptions!$C$59*12</f>
        <v>-173558.72000000003</v>
      </c>
      <c r="D7" s="68">
        <f>($A7*D$6*Assumptions!$C$25)-($A7*D$6*Assumptions!$C$25)*Assumptions!$C$38-(Assumptions!$C$41*52*Assumptions!$C$42*(1+Assumptions!$C$44)+Assumptions!$C$45)-Assumptions!$F$12*Assumptions!$C$16-Assumptions!$C$50*12-Assumptions!$C$51-($A7*D$6*Assumptions!$C$25)*Assumptions!$C$53*Assumptions!$C$52-Assumptions!$C$54*12-Assumptions!$C$55*12-Assumptions!$C$56*12-($A7*D$6*Assumptions!$C$25)*Assumptions!$C$57-Assumptions!$C$58*12-Assumptions!$C$59*12</f>
        <v>-149252.24000000005</v>
      </c>
      <c r="E7" s="68">
        <f>($A7*E$6*Assumptions!$C$25)-($A7*E$6*Assumptions!$C$25)*Assumptions!$C$38-(Assumptions!$C$41*52*Assumptions!$C$42*(1+Assumptions!$C$44)+Assumptions!$C$45)-Assumptions!$F$12*Assumptions!$C$16-Assumptions!$C$50*12-Assumptions!$C$51-($A7*E$6*Assumptions!$C$25)*Assumptions!$C$53*Assumptions!$C$52-Assumptions!$C$54*12-Assumptions!$C$55*12-Assumptions!$C$56*12-($A7*E$6*Assumptions!$C$25)*Assumptions!$C$57-Assumptions!$C$58*12-Assumptions!$C$59*12</f>
        <v>-124945.76000000004</v>
      </c>
      <c r="F7" s="68">
        <f>($A7*F$6*Assumptions!$C$25)-($A7*F$6*Assumptions!$C$25)*Assumptions!$C$38-(Assumptions!$C$41*52*Assumptions!$C$42*(1+Assumptions!$C$44)+Assumptions!$C$45)-Assumptions!$F$12*Assumptions!$C$16-Assumptions!$C$50*12-Assumptions!$C$51-($A7*F$6*Assumptions!$C$25)*Assumptions!$C$53*Assumptions!$C$52-Assumptions!$C$54*12-Assumptions!$C$55*12-Assumptions!$C$56*12-($A7*F$6*Assumptions!$C$25)*Assumptions!$C$57-Assumptions!$C$58*12-Assumptions!$C$59*12</f>
        <v>-100639.28000000004</v>
      </c>
      <c r="G7" s="68">
        <f>($A7*G$6*Assumptions!$C$25)-($A7*G$6*Assumptions!$C$25)*Assumptions!$C$38-(Assumptions!$C$41*52*Assumptions!$C$42*(1+Assumptions!$C$44)+Assumptions!$C$45)-Assumptions!$F$12*Assumptions!$C$16-Assumptions!$C$50*12-Assumptions!$C$51-($A7*G$6*Assumptions!$C$25)*Assumptions!$C$53*Assumptions!$C$52-Assumptions!$C$54*12-Assumptions!$C$55*12-Assumptions!$C$56*12-($A7*G$6*Assumptions!$C$25)*Assumptions!$C$57-Assumptions!$C$58*12-Assumptions!$C$59*12</f>
        <v>-76332.800000000047</v>
      </c>
    </row>
    <row r="8" spans="1:8" ht="15" customHeight="1" x14ac:dyDescent="0.2">
      <c r="A8" s="66">
        <v>185</v>
      </c>
      <c r="B8" s="67"/>
      <c r="C8" s="68">
        <f>($A8*C$6*Assumptions!$C$25)-($A8*C$6*Assumptions!$C$25)*Assumptions!$C$38-(Assumptions!$C$41*52*Assumptions!$C$42*(1+Assumptions!$C$44)+Assumptions!$C$45)-Assumptions!$F$12*Assumptions!$C$16-Assumptions!$C$50*12-Assumptions!$C$51-($A8*C$6*Assumptions!$C$25)*Assumptions!$C$53*Assumptions!$C$52-Assumptions!$C$54*12-Assumptions!$C$55*12-Assumptions!$C$56*12-($A8*C$6*Assumptions!$C$25)*Assumptions!$C$57-Assumptions!$C$58*12-Assumptions!$C$59*12</f>
        <v>-120624.60800000004</v>
      </c>
      <c r="D8" s="68">
        <f>($A8*D$6*Assumptions!$C$25)-($A8*D$6*Assumptions!$C$25)*Assumptions!$C$38-(Assumptions!$C$41*52*Assumptions!$C$42*(1+Assumptions!$C$44)+Assumptions!$C$45)-Assumptions!$F$12*Assumptions!$C$16-Assumptions!$C$50*12-Assumptions!$C$51-($A8*D$6*Assumptions!$C$25)*Assumptions!$C$53*Assumptions!$C$52-Assumptions!$C$54*12-Assumptions!$C$55*12-Assumptions!$C$56*12-($A8*D$6*Assumptions!$C$25)*Assumptions!$C$57-Assumptions!$C$58*12-Assumptions!$C$59*12</f>
        <v>-90646.616000000038</v>
      </c>
      <c r="E8" s="68">
        <f>($A8*E$6*Assumptions!$C$25)-($A8*E$6*Assumptions!$C$25)*Assumptions!$C$38-(Assumptions!$C$41*52*Assumptions!$C$42*(1+Assumptions!$C$44)+Assumptions!$C$45)-Assumptions!$F$12*Assumptions!$C$16-Assumptions!$C$50*12-Assumptions!$C$51-($A8*E$6*Assumptions!$C$25)*Assumptions!$C$53*Assumptions!$C$52-Assumptions!$C$54*12-Assumptions!$C$55*12-Assumptions!$C$56*12-($A8*E$6*Assumptions!$C$25)*Assumptions!$C$57-Assumptions!$C$58*12-Assumptions!$C$59*12</f>
        <v>-60668.62400000004</v>
      </c>
      <c r="F8" s="68">
        <f>($A8*F$6*Assumptions!$C$25)-($A8*F$6*Assumptions!$C$25)*Assumptions!$C$38-(Assumptions!$C$41*52*Assumptions!$C$42*(1+Assumptions!$C$44)+Assumptions!$C$45)-Assumptions!$F$12*Assumptions!$C$16-Assumptions!$C$50*12-Assumptions!$C$51-($A8*F$6*Assumptions!$C$25)*Assumptions!$C$53*Assumptions!$C$52-Assumptions!$C$54*12-Assumptions!$C$55*12-Assumptions!$C$56*12-($A8*F$6*Assumptions!$C$25)*Assumptions!$C$57-Assumptions!$C$58*12-Assumptions!$C$59*12</f>
        <v>-30690.632000000041</v>
      </c>
      <c r="G8" s="68">
        <f>($A8*G$6*Assumptions!$C$25)-($A8*G$6*Assumptions!$C$25)*Assumptions!$C$38-(Assumptions!$C$41*52*Assumptions!$C$42*(1+Assumptions!$C$44)+Assumptions!$C$45)-Assumptions!$F$12*Assumptions!$C$16-Assumptions!$C$50*12-Assumptions!$C$51-($A8*G$6*Assumptions!$C$25)*Assumptions!$C$53*Assumptions!$C$52-Assumptions!$C$54*12-Assumptions!$C$55*12-Assumptions!$C$56*12-($A8*G$6*Assumptions!$C$25)*Assumptions!$C$57-Assumptions!$C$58*12-Assumptions!$C$59*12</f>
        <v>-712.64000000004307</v>
      </c>
    </row>
    <row r="9" spans="1:8" ht="15" customHeight="1" x14ac:dyDescent="0.2">
      <c r="A9" s="66">
        <v>220</v>
      </c>
      <c r="B9" s="67"/>
      <c r="C9" s="68">
        <f>($A9*C$6*Assumptions!$C$25)-($A9*C$6*Assumptions!$C$25)*Assumptions!$C$38-(Assumptions!$C$41*52*Assumptions!$C$42*(1+Assumptions!$C$44)+Assumptions!$C$45)-Assumptions!$F$12*Assumptions!$C$16-Assumptions!$C$50*12-Assumptions!$C$51-($A9*C$6*Assumptions!$C$25)*Assumptions!$C$53*Assumptions!$C$52-Assumptions!$C$54*12-Assumptions!$C$55*12-Assumptions!$C$56*12-($A9*C$6*Assumptions!$C$25)*Assumptions!$C$57-Assumptions!$C$58*12-Assumptions!$C$59*12</f>
        <v>-67690.496000000043</v>
      </c>
      <c r="D9" s="68">
        <f>($A9*D$6*Assumptions!$C$25)-($A9*D$6*Assumptions!$C$25)*Assumptions!$C$38-(Assumptions!$C$41*52*Assumptions!$C$42*(1+Assumptions!$C$44)+Assumptions!$C$45)-Assumptions!$F$12*Assumptions!$C$16-Assumptions!$C$50*12-Assumptions!$C$51-($A9*D$6*Assumptions!$C$25)*Assumptions!$C$53*Assumptions!$C$52-Assumptions!$C$54*12-Assumptions!$C$55*12-Assumptions!$C$56*12-($A9*D$6*Assumptions!$C$25)*Assumptions!$C$57-Assumptions!$C$58*12-Assumptions!$C$59*12</f>
        <v>-32040.992000000042</v>
      </c>
      <c r="E9" s="69">
        <f>($A9*E$6*Assumptions!$C$25)-($A9*E$6*Assumptions!$C$25)*Assumptions!$C$38-(Assumptions!$C$41*52*Assumptions!$C$42*(1+Assumptions!$C$44)+Assumptions!$C$45)-Assumptions!$F$12*Assumptions!$C$16-Assumptions!$C$50*12-Assumptions!$C$51-($A9*E$6*Assumptions!$C$25)*Assumptions!$C$53*Assumptions!$C$52-Assumptions!$C$54*12-Assumptions!$C$55*12-Assumptions!$C$56*12-($A9*E$6*Assumptions!$C$25)*Assumptions!$C$57-Assumptions!$C$58*12-Assumptions!$C$59*12</f>
        <v>3608.5119999999588</v>
      </c>
      <c r="F9" s="68">
        <f>($A9*F$6*Assumptions!$C$25)-($A9*F$6*Assumptions!$C$25)*Assumptions!$C$38-(Assumptions!$C$41*52*Assumptions!$C$42*(1+Assumptions!$C$44)+Assumptions!$C$45)-Assumptions!$F$12*Assumptions!$C$16-Assumptions!$C$50*12-Assumptions!$C$51-($A9*F$6*Assumptions!$C$25)*Assumptions!$C$53*Assumptions!$C$52-Assumptions!$C$54*12-Assumptions!$C$55*12-Assumptions!$C$56*12-($A9*F$6*Assumptions!$C$25)*Assumptions!$C$57-Assumptions!$C$58*12-Assumptions!$C$59*12</f>
        <v>39258.01599999996</v>
      </c>
      <c r="G9" s="68">
        <f>($A9*G$6*Assumptions!$C$25)-($A9*G$6*Assumptions!$C$25)*Assumptions!$C$38-(Assumptions!$C$41*52*Assumptions!$C$42*(1+Assumptions!$C$44)+Assumptions!$C$45)-Assumptions!$F$12*Assumptions!$C$16-Assumptions!$C$50*12-Assumptions!$C$51-($A9*G$6*Assumptions!$C$25)*Assumptions!$C$53*Assumptions!$C$52-Assumptions!$C$54*12-Assumptions!$C$55*12-Assumptions!$C$56*12-($A9*G$6*Assumptions!$C$25)*Assumptions!$C$57-Assumptions!$C$58*12-Assumptions!$C$59*12</f>
        <v>74907.519999999931</v>
      </c>
    </row>
    <row r="10" spans="1:8" ht="15" customHeight="1" x14ac:dyDescent="0.2">
      <c r="A10" s="66">
        <v>255</v>
      </c>
      <c r="B10" s="67"/>
      <c r="C10" s="68">
        <f>($A10*C$6*Assumptions!$C$25)-($A10*C$6*Assumptions!$C$25)*Assumptions!$C$38-(Assumptions!$C$41*52*Assumptions!$C$42*(1+Assumptions!$C$44)+Assumptions!$C$45)-Assumptions!$F$12*Assumptions!$C$16-Assumptions!$C$50*12-Assumptions!$C$51-($A10*C$6*Assumptions!$C$25)*Assumptions!$C$53*Assumptions!$C$52-Assumptions!$C$54*12-Assumptions!$C$55*12-Assumptions!$C$56*12-($A10*C$6*Assumptions!$C$25)*Assumptions!$C$57-Assumptions!$C$58*12-Assumptions!$C$59*12</f>
        <v>-14756.384000000042</v>
      </c>
      <c r="D10" s="68">
        <f>($A10*D$6*Assumptions!$C$25)-($A10*D$6*Assumptions!$C$25)*Assumptions!$C$38-(Assumptions!$C$41*52*Assumptions!$C$42*(1+Assumptions!$C$44)+Assumptions!$C$45)-Assumptions!$F$12*Assumptions!$C$16-Assumptions!$C$50*12-Assumptions!$C$51-($A10*D$6*Assumptions!$C$25)*Assumptions!$C$53*Assumptions!$C$52-Assumptions!$C$54*12-Assumptions!$C$55*12-Assumptions!$C$56*12-($A10*D$6*Assumptions!$C$25)*Assumptions!$C$57-Assumptions!$C$58*12-Assumptions!$C$59*12</f>
        <v>26564.631999999954</v>
      </c>
      <c r="E10" s="68">
        <f>($A10*E$6*Assumptions!$C$25)-($A10*E$6*Assumptions!$C$25)*Assumptions!$C$38-(Assumptions!$C$41*52*Assumptions!$C$42*(1+Assumptions!$C$44)+Assumptions!$C$45)-Assumptions!$F$12*Assumptions!$C$16-Assumptions!$C$50*12-Assumptions!$C$51-($A10*E$6*Assumptions!$C$25)*Assumptions!$C$53*Assumptions!$C$52-Assumptions!$C$54*12-Assumptions!$C$55*12-Assumptions!$C$56*12-($A10*E$6*Assumptions!$C$25)*Assumptions!$C$57-Assumptions!$C$58*12-Assumptions!$C$59*12</f>
        <v>67885.647999999928</v>
      </c>
      <c r="F10" s="68">
        <f>($A10*F$6*Assumptions!$C$25)-($A10*F$6*Assumptions!$C$25)*Assumptions!$C$38-(Assumptions!$C$41*52*Assumptions!$C$42*(1+Assumptions!$C$44)+Assumptions!$C$45)-Assumptions!$F$12*Assumptions!$C$16-Assumptions!$C$50*12-Assumptions!$C$51-($A10*F$6*Assumptions!$C$25)*Assumptions!$C$53*Assumptions!$C$52-Assumptions!$C$54*12-Assumptions!$C$55*12-Assumptions!$C$56*12-($A10*F$6*Assumptions!$C$25)*Assumptions!$C$57-Assumptions!$C$58*12-Assumptions!$C$59*12</f>
        <v>109206.66399999993</v>
      </c>
      <c r="G10" s="68">
        <f>($A10*G$6*Assumptions!$C$25)-($A10*G$6*Assumptions!$C$25)*Assumptions!$C$38-(Assumptions!$C$41*52*Assumptions!$C$42*(1+Assumptions!$C$44)+Assumptions!$C$45)-Assumptions!$F$12*Assumptions!$C$16-Assumptions!$C$50*12-Assumptions!$C$51-($A10*G$6*Assumptions!$C$25)*Assumptions!$C$53*Assumptions!$C$52-Assumptions!$C$54*12-Assumptions!$C$55*12-Assumptions!$C$56*12-($A10*G$6*Assumptions!$C$25)*Assumptions!$C$57-Assumptions!$C$58*12-Assumptions!$C$59*12</f>
        <v>150527.67999999993</v>
      </c>
    </row>
    <row r="11" spans="1:8" ht="15" customHeight="1" x14ac:dyDescent="0.2">
      <c r="A11" s="66">
        <v>290</v>
      </c>
      <c r="B11" s="67"/>
      <c r="C11" s="68">
        <f>($A11*C$6*Assumptions!$C$25)-($A11*C$6*Assumptions!$C$25)*Assumptions!$C$38-(Assumptions!$C$41*52*Assumptions!$C$42*(1+Assumptions!$C$44)+Assumptions!$C$45)-Assumptions!$F$12*Assumptions!$C$16-Assumptions!$C$50*12-Assumptions!$C$51-($A11*C$6*Assumptions!$C$25)*Assumptions!$C$53*Assumptions!$C$52-Assumptions!$C$54*12-Assumptions!$C$55*12-Assumptions!$C$56*12-($A11*C$6*Assumptions!$C$25)*Assumptions!$C$57-Assumptions!$C$58*12-Assumptions!$C$59*12</f>
        <v>38177.727999999959</v>
      </c>
      <c r="D11" s="68">
        <f>($A11*D$6*Assumptions!$C$25)-($A11*D$6*Assumptions!$C$25)*Assumptions!$C$38-(Assumptions!$C$41*52*Assumptions!$C$42*(1+Assumptions!$C$44)+Assumptions!$C$45)-Assumptions!$F$12*Assumptions!$C$16-Assumptions!$C$50*12-Assumptions!$C$51-($A11*D$6*Assumptions!$C$25)*Assumptions!$C$53*Assumptions!$C$52-Assumptions!$C$54*12-Assumptions!$C$55*12-Assumptions!$C$56*12-($A11*D$6*Assumptions!$C$25)*Assumptions!$C$57-Assumptions!$C$58*12-Assumptions!$C$59*12</f>
        <v>85170.255999999936</v>
      </c>
      <c r="E11" s="68">
        <f>($A11*E$6*Assumptions!$C$25)-($A11*E$6*Assumptions!$C$25)*Assumptions!$C$38-(Assumptions!$C$41*52*Assumptions!$C$42*(1+Assumptions!$C$44)+Assumptions!$C$45)-Assumptions!$F$12*Assumptions!$C$16-Assumptions!$C$50*12-Assumptions!$C$51-($A11*E$6*Assumptions!$C$25)*Assumptions!$C$53*Assumptions!$C$52-Assumptions!$C$54*12-Assumptions!$C$55*12-Assumptions!$C$56*12-($A11*E$6*Assumptions!$C$25)*Assumptions!$C$57-Assumptions!$C$58*12-Assumptions!$C$59*12</f>
        <v>132162.78399999993</v>
      </c>
      <c r="F11" s="68">
        <f>($A11*F$6*Assumptions!$C$25)-($A11*F$6*Assumptions!$C$25)*Assumptions!$C$38-(Assumptions!$C$41*52*Assumptions!$C$42*(1+Assumptions!$C$44)+Assumptions!$C$45)-Assumptions!$F$12*Assumptions!$C$16-Assumptions!$C$50*12-Assumptions!$C$51-($A11*F$6*Assumptions!$C$25)*Assumptions!$C$53*Assumptions!$C$52-Assumptions!$C$54*12-Assumptions!$C$55*12-Assumptions!$C$56*12-($A11*F$6*Assumptions!$C$25)*Assumptions!$C$57-Assumptions!$C$58*12-Assumptions!$C$59*12</f>
        <v>179155.31199999992</v>
      </c>
      <c r="G11" s="68">
        <f>($A11*G$6*Assumptions!$C$25)-($A11*G$6*Assumptions!$C$25)*Assumptions!$C$38-(Assumptions!$C$41*52*Assumptions!$C$42*(1+Assumptions!$C$44)+Assumptions!$C$45)-Assumptions!$F$12*Assumptions!$C$16-Assumptions!$C$50*12-Assumptions!$C$51-($A11*G$6*Assumptions!$C$25)*Assumptions!$C$53*Assumptions!$C$52-Assumptions!$C$54*12-Assumptions!$C$55*12-Assumptions!$C$56*12-($A11*G$6*Assumptions!$C$25)*Assumptions!$C$57-Assumptions!$C$58*12-Assumptions!$C$59*12</f>
        <v>226147.83999999991</v>
      </c>
    </row>
    <row r="14" spans="1:8" ht="15" customHeight="1" x14ac:dyDescent="0.2">
      <c r="A14" s="13" t="s">
        <v>268</v>
      </c>
      <c r="B14" s="14"/>
      <c r="C14" s="14"/>
      <c r="D14" s="14"/>
      <c r="E14" s="14"/>
      <c r="F14" s="14"/>
      <c r="G14" s="14"/>
      <c r="H14" s="14"/>
    </row>
    <row r="15" spans="1:8" ht="15" customHeight="1" x14ac:dyDescent="0.2">
      <c r="A15" s="64" t="s">
        <v>269</v>
      </c>
      <c r="C15" s="66">
        <v>180</v>
      </c>
      <c r="D15" s="66">
        <v>205</v>
      </c>
      <c r="E15" s="66">
        <v>230</v>
      </c>
      <c r="F15" s="66">
        <v>255</v>
      </c>
      <c r="G15" s="66">
        <v>280</v>
      </c>
    </row>
    <row r="16" spans="1:8" ht="15" customHeight="1" x14ac:dyDescent="0.2">
      <c r="A16" s="70">
        <v>48</v>
      </c>
      <c r="B16" s="67"/>
      <c r="C16" s="68">
        <f>(Assumptions!$F$10*Assumptions!$F$11*Assumptions!$C$25)-(Assumptions!$F$10*Assumptions!$F$11*Assumptions!$C$25)*Assumptions!$C$38-(C$15*52*Assumptions!$C$42*(1+Assumptions!$C$44)+Assumptions!$C$45)-$A16*Assumptions!$C$16-Assumptions!$C$50*12-Assumptions!$C$51-(Assumptions!$F$10*Assumptions!$F$11*Assumptions!$C$25)*Assumptions!$C$53*Assumptions!$C$52-Assumptions!$C$54*12-Assumptions!$C$55*12-Assumptions!$C$56*12-(Assumptions!$F$10*Assumptions!$F$11*Assumptions!$C$25)*Assumptions!$C$57-Assumptions!$C$58*12-Assumptions!$C$59*12</f>
        <v>71360.511999999988</v>
      </c>
      <c r="D16" s="68">
        <f>(Assumptions!$F$10*Assumptions!$F$11*Assumptions!$C$25)-(Assumptions!$F$10*Assumptions!$F$11*Assumptions!$C$25)*Assumptions!$C$38-(D$15*52*Assumptions!$C$42*(1+Assumptions!$C$44)+Assumptions!$C$45)-$A16*Assumptions!$C$16-Assumptions!$C$50*12-Assumptions!$C$51-(Assumptions!$F$10*Assumptions!$F$11*Assumptions!$C$25)*Assumptions!$C$53*Assumptions!$C$52-Assumptions!$C$54*12-Assumptions!$C$55*12-Assumptions!$C$56*12-(Assumptions!$F$10*Assumptions!$F$11*Assumptions!$C$25)*Assumptions!$C$57-Assumptions!$C$58*12-Assumptions!$C$59*12</f>
        <v>44684.511999999988</v>
      </c>
      <c r="E16" s="68">
        <f>(Assumptions!$F$10*Assumptions!$F$11*Assumptions!$C$25)-(Assumptions!$F$10*Assumptions!$F$11*Assumptions!$C$25)*Assumptions!$C$38-(E$15*52*Assumptions!$C$42*(1+Assumptions!$C$44)+Assumptions!$C$45)-$A16*Assumptions!$C$16-Assumptions!$C$50*12-Assumptions!$C$51-(Assumptions!$F$10*Assumptions!$F$11*Assumptions!$C$25)*Assumptions!$C$53*Assumptions!$C$52-Assumptions!$C$54*12-Assumptions!$C$55*12-Assumptions!$C$56*12-(Assumptions!$F$10*Assumptions!$F$11*Assumptions!$C$25)*Assumptions!$C$57-Assumptions!$C$58*12-Assumptions!$C$59*12</f>
        <v>18008.511999999959</v>
      </c>
      <c r="F16" s="68">
        <f>(Assumptions!$F$10*Assumptions!$F$11*Assumptions!$C$25)-(Assumptions!$F$10*Assumptions!$F$11*Assumptions!$C$25)*Assumptions!$C$38-(F$15*52*Assumptions!$C$42*(1+Assumptions!$C$44)+Assumptions!$C$45)-$A16*Assumptions!$C$16-Assumptions!$C$50*12-Assumptions!$C$51-(Assumptions!$F$10*Assumptions!$F$11*Assumptions!$C$25)*Assumptions!$C$53*Assumptions!$C$52-Assumptions!$C$54*12-Assumptions!$C$55*12-Assumptions!$C$56*12-(Assumptions!$F$10*Assumptions!$F$11*Assumptions!$C$25)*Assumptions!$C$57-Assumptions!$C$58*12-Assumptions!$C$59*12</f>
        <v>-8667.4880000000121</v>
      </c>
      <c r="G16" s="68">
        <f>(Assumptions!$F$10*Assumptions!$F$11*Assumptions!$C$25)-(Assumptions!$F$10*Assumptions!$F$11*Assumptions!$C$25)*Assumptions!$C$38-(G$15*52*Assumptions!$C$42*(1+Assumptions!$C$44)+Assumptions!$C$45)-$A16*Assumptions!$C$16-Assumptions!$C$50*12-Assumptions!$C$51-(Assumptions!$F$10*Assumptions!$F$11*Assumptions!$C$25)*Assumptions!$C$53*Assumptions!$C$52-Assumptions!$C$54*12-Assumptions!$C$55*12-Assumptions!$C$56*12-(Assumptions!$F$10*Assumptions!$F$11*Assumptions!$C$25)*Assumptions!$C$57-Assumptions!$C$58*12-Assumptions!$C$59*12</f>
        <v>-35343.488000000012</v>
      </c>
    </row>
    <row r="17" spans="1:7" ht="15" customHeight="1" x14ac:dyDescent="0.2">
      <c r="A17" s="70">
        <v>54</v>
      </c>
      <c r="B17" s="67"/>
      <c r="C17" s="68">
        <f>(Assumptions!$F$10*Assumptions!$F$11*Assumptions!$C$25)-(Assumptions!$F$10*Assumptions!$F$11*Assumptions!$C$25)*Assumptions!$C$38-(C$15*52*Assumptions!$C$42*(1+Assumptions!$C$44)+Assumptions!$C$45)-$A17*Assumptions!$C$16-Assumptions!$C$50*12-Assumptions!$C$51-(Assumptions!$F$10*Assumptions!$F$11*Assumptions!$C$25)*Assumptions!$C$53*Assumptions!$C$52-Assumptions!$C$54*12-Assumptions!$C$55*12-Assumptions!$C$56*12-(Assumptions!$F$10*Assumptions!$F$11*Assumptions!$C$25)*Assumptions!$C$57-Assumptions!$C$58*12-Assumptions!$C$59*12</f>
        <v>64160.511999999988</v>
      </c>
      <c r="D17" s="68">
        <f>(Assumptions!$F$10*Assumptions!$F$11*Assumptions!$C$25)-(Assumptions!$F$10*Assumptions!$F$11*Assumptions!$C$25)*Assumptions!$C$38-(D$15*52*Assumptions!$C$42*(1+Assumptions!$C$44)+Assumptions!$C$45)-$A17*Assumptions!$C$16-Assumptions!$C$50*12-Assumptions!$C$51-(Assumptions!$F$10*Assumptions!$F$11*Assumptions!$C$25)*Assumptions!$C$53*Assumptions!$C$52-Assumptions!$C$54*12-Assumptions!$C$55*12-Assumptions!$C$56*12-(Assumptions!$F$10*Assumptions!$F$11*Assumptions!$C$25)*Assumptions!$C$57-Assumptions!$C$58*12-Assumptions!$C$59*12</f>
        <v>37484.511999999988</v>
      </c>
      <c r="E17" s="68">
        <f>(Assumptions!$F$10*Assumptions!$F$11*Assumptions!$C$25)-(Assumptions!$F$10*Assumptions!$F$11*Assumptions!$C$25)*Assumptions!$C$38-(E$15*52*Assumptions!$C$42*(1+Assumptions!$C$44)+Assumptions!$C$45)-$A17*Assumptions!$C$16-Assumptions!$C$50*12-Assumptions!$C$51-(Assumptions!$F$10*Assumptions!$F$11*Assumptions!$C$25)*Assumptions!$C$53*Assumptions!$C$52-Assumptions!$C$54*12-Assumptions!$C$55*12-Assumptions!$C$56*12-(Assumptions!$F$10*Assumptions!$F$11*Assumptions!$C$25)*Assumptions!$C$57-Assumptions!$C$58*12-Assumptions!$C$59*12</f>
        <v>10808.511999999959</v>
      </c>
      <c r="F17" s="68">
        <f>(Assumptions!$F$10*Assumptions!$F$11*Assumptions!$C$25)-(Assumptions!$F$10*Assumptions!$F$11*Assumptions!$C$25)*Assumptions!$C$38-(F$15*52*Assumptions!$C$42*(1+Assumptions!$C$44)+Assumptions!$C$45)-$A17*Assumptions!$C$16-Assumptions!$C$50*12-Assumptions!$C$51-(Assumptions!$F$10*Assumptions!$F$11*Assumptions!$C$25)*Assumptions!$C$53*Assumptions!$C$52-Assumptions!$C$54*12-Assumptions!$C$55*12-Assumptions!$C$56*12-(Assumptions!$F$10*Assumptions!$F$11*Assumptions!$C$25)*Assumptions!$C$57-Assumptions!$C$58*12-Assumptions!$C$59*12</f>
        <v>-15867.488000000012</v>
      </c>
      <c r="G17" s="68">
        <f>(Assumptions!$F$10*Assumptions!$F$11*Assumptions!$C$25)-(Assumptions!$F$10*Assumptions!$F$11*Assumptions!$C$25)*Assumptions!$C$38-(G$15*52*Assumptions!$C$42*(1+Assumptions!$C$44)+Assumptions!$C$45)-$A17*Assumptions!$C$16-Assumptions!$C$50*12-Assumptions!$C$51-(Assumptions!$F$10*Assumptions!$F$11*Assumptions!$C$25)*Assumptions!$C$53*Assumptions!$C$52-Assumptions!$C$54*12-Assumptions!$C$55*12-Assumptions!$C$56*12-(Assumptions!$F$10*Assumptions!$F$11*Assumptions!$C$25)*Assumptions!$C$57-Assumptions!$C$58*12-Assumptions!$C$59*12</f>
        <v>-42543.488000000012</v>
      </c>
    </row>
    <row r="18" spans="1:7" ht="15" customHeight="1" x14ac:dyDescent="0.2">
      <c r="A18" s="70">
        <v>60</v>
      </c>
      <c r="B18" s="67"/>
      <c r="C18" s="68">
        <f>(Assumptions!$F$10*Assumptions!$F$11*Assumptions!$C$25)-(Assumptions!$F$10*Assumptions!$F$11*Assumptions!$C$25)*Assumptions!$C$38-(C$15*52*Assumptions!$C$42*(1+Assumptions!$C$44)+Assumptions!$C$45)-$A18*Assumptions!$C$16-Assumptions!$C$50*12-Assumptions!$C$51-(Assumptions!$F$10*Assumptions!$F$11*Assumptions!$C$25)*Assumptions!$C$53*Assumptions!$C$52-Assumptions!$C$54*12-Assumptions!$C$55*12-Assumptions!$C$56*12-(Assumptions!$F$10*Assumptions!$F$11*Assumptions!$C$25)*Assumptions!$C$57-Assumptions!$C$58*12-Assumptions!$C$59*12</f>
        <v>56960.511999999988</v>
      </c>
      <c r="D18" s="68">
        <f>(Assumptions!$F$10*Assumptions!$F$11*Assumptions!$C$25)-(Assumptions!$F$10*Assumptions!$F$11*Assumptions!$C$25)*Assumptions!$C$38-(D$15*52*Assumptions!$C$42*(1+Assumptions!$C$44)+Assumptions!$C$45)-$A18*Assumptions!$C$16-Assumptions!$C$50*12-Assumptions!$C$51-(Assumptions!$F$10*Assumptions!$F$11*Assumptions!$C$25)*Assumptions!$C$53*Assumptions!$C$52-Assumptions!$C$54*12-Assumptions!$C$55*12-Assumptions!$C$56*12-(Assumptions!$F$10*Assumptions!$F$11*Assumptions!$C$25)*Assumptions!$C$57-Assumptions!$C$58*12-Assumptions!$C$59*12</f>
        <v>30284.511999999988</v>
      </c>
      <c r="E18" s="69">
        <f>(Assumptions!$F$10*Assumptions!$F$11*Assumptions!$C$25)-(Assumptions!$F$10*Assumptions!$F$11*Assumptions!$C$25)*Assumptions!$C$38-(E$15*52*Assumptions!$C$42*(1+Assumptions!$C$44)+Assumptions!$C$45)-$A18*Assumptions!$C$16-Assumptions!$C$50*12-Assumptions!$C$51-(Assumptions!$F$10*Assumptions!$F$11*Assumptions!$C$25)*Assumptions!$C$53*Assumptions!$C$52-Assumptions!$C$54*12-Assumptions!$C$55*12-Assumptions!$C$56*12-(Assumptions!$F$10*Assumptions!$F$11*Assumptions!$C$25)*Assumptions!$C$57-Assumptions!$C$58*12-Assumptions!$C$59*12</f>
        <v>3608.5119999999588</v>
      </c>
      <c r="F18" s="68">
        <f>(Assumptions!$F$10*Assumptions!$F$11*Assumptions!$C$25)-(Assumptions!$F$10*Assumptions!$F$11*Assumptions!$C$25)*Assumptions!$C$38-(F$15*52*Assumptions!$C$42*(1+Assumptions!$C$44)+Assumptions!$C$45)-$A18*Assumptions!$C$16-Assumptions!$C$50*12-Assumptions!$C$51-(Assumptions!$F$10*Assumptions!$F$11*Assumptions!$C$25)*Assumptions!$C$53*Assumptions!$C$52-Assumptions!$C$54*12-Assumptions!$C$55*12-Assumptions!$C$56*12-(Assumptions!$F$10*Assumptions!$F$11*Assumptions!$C$25)*Assumptions!$C$57-Assumptions!$C$58*12-Assumptions!$C$59*12</f>
        <v>-23067.488000000012</v>
      </c>
      <c r="G18" s="68">
        <f>(Assumptions!$F$10*Assumptions!$F$11*Assumptions!$C$25)-(Assumptions!$F$10*Assumptions!$F$11*Assumptions!$C$25)*Assumptions!$C$38-(G$15*52*Assumptions!$C$42*(1+Assumptions!$C$44)+Assumptions!$C$45)-$A18*Assumptions!$C$16-Assumptions!$C$50*12-Assumptions!$C$51-(Assumptions!$F$10*Assumptions!$F$11*Assumptions!$C$25)*Assumptions!$C$53*Assumptions!$C$52-Assumptions!$C$54*12-Assumptions!$C$55*12-Assumptions!$C$56*12-(Assumptions!$F$10*Assumptions!$F$11*Assumptions!$C$25)*Assumptions!$C$57-Assumptions!$C$58*12-Assumptions!$C$59*12</f>
        <v>-49743.488000000012</v>
      </c>
    </row>
    <row r="19" spans="1:7" ht="15" customHeight="1" x14ac:dyDescent="0.2">
      <c r="A19" s="70">
        <v>68</v>
      </c>
      <c r="B19" s="67"/>
      <c r="C19" s="68">
        <f>(Assumptions!$F$10*Assumptions!$F$11*Assumptions!$C$25)-(Assumptions!$F$10*Assumptions!$F$11*Assumptions!$C$25)*Assumptions!$C$38-(C$15*52*Assumptions!$C$42*(1+Assumptions!$C$44)+Assumptions!$C$45)-$A19*Assumptions!$C$16-Assumptions!$C$50*12-Assumptions!$C$51-(Assumptions!$F$10*Assumptions!$F$11*Assumptions!$C$25)*Assumptions!$C$53*Assumptions!$C$52-Assumptions!$C$54*12-Assumptions!$C$55*12-Assumptions!$C$56*12-(Assumptions!$F$10*Assumptions!$F$11*Assumptions!$C$25)*Assumptions!$C$57-Assumptions!$C$58*12-Assumptions!$C$59*12</f>
        <v>47360.511999999988</v>
      </c>
      <c r="D19" s="68">
        <f>(Assumptions!$F$10*Assumptions!$F$11*Assumptions!$C$25)-(Assumptions!$F$10*Assumptions!$F$11*Assumptions!$C$25)*Assumptions!$C$38-(D$15*52*Assumptions!$C$42*(1+Assumptions!$C$44)+Assumptions!$C$45)-$A19*Assumptions!$C$16-Assumptions!$C$50*12-Assumptions!$C$51-(Assumptions!$F$10*Assumptions!$F$11*Assumptions!$C$25)*Assumptions!$C$53*Assumptions!$C$52-Assumptions!$C$54*12-Assumptions!$C$55*12-Assumptions!$C$56*12-(Assumptions!$F$10*Assumptions!$F$11*Assumptions!$C$25)*Assumptions!$C$57-Assumptions!$C$58*12-Assumptions!$C$59*12</f>
        <v>20684.511999999988</v>
      </c>
      <c r="E19" s="68">
        <f>(Assumptions!$F$10*Assumptions!$F$11*Assumptions!$C$25)-(Assumptions!$F$10*Assumptions!$F$11*Assumptions!$C$25)*Assumptions!$C$38-(E$15*52*Assumptions!$C$42*(1+Assumptions!$C$44)+Assumptions!$C$45)-$A19*Assumptions!$C$16-Assumptions!$C$50*12-Assumptions!$C$51-(Assumptions!$F$10*Assumptions!$F$11*Assumptions!$C$25)*Assumptions!$C$53*Assumptions!$C$52-Assumptions!$C$54*12-Assumptions!$C$55*12-Assumptions!$C$56*12-(Assumptions!$F$10*Assumptions!$F$11*Assumptions!$C$25)*Assumptions!$C$57-Assumptions!$C$58*12-Assumptions!$C$59*12</f>
        <v>-5991.4880000000412</v>
      </c>
      <c r="F19" s="68">
        <f>(Assumptions!$F$10*Assumptions!$F$11*Assumptions!$C$25)-(Assumptions!$F$10*Assumptions!$F$11*Assumptions!$C$25)*Assumptions!$C$38-(F$15*52*Assumptions!$C$42*(1+Assumptions!$C$44)+Assumptions!$C$45)-$A19*Assumptions!$C$16-Assumptions!$C$50*12-Assumptions!$C$51-(Assumptions!$F$10*Assumptions!$F$11*Assumptions!$C$25)*Assumptions!$C$53*Assumptions!$C$52-Assumptions!$C$54*12-Assumptions!$C$55*12-Assumptions!$C$56*12-(Assumptions!$F$10*Assumptions!$F$11*Assumptions!$C$25)*Assumptions!$C$57-Assumptions!$C$58*12-Assumptions!$C$59*12</f>
        <v>-32667.488000000012</v>
      </c>
      <c r="G19" s="68">
        <f>(Assumptions!$F$10*Assumptions!$F$11*Assumptions!$C$25)-(Assumptions!$F$10*Assumptions!$F$11*Assumptions!$C$25)*Assumptions!$C$38-(G$15*52*Assumptions!$C$42*(1+Assumptions!$C$44)+Assumptions!$C$45)-$A19*Assumptions!$C$16-Assumptions!$C$50*12-Assumptions!$C$51-(Assumptions!$F$10*Assumptions!$F$11*Assumptions!$C$25)*Assumptions!$C$53*Assumptions!$C$52-Assumptions!$C$54*12-Assumptions!$C$55*12-Assumptions!$C$56*12-(Assumptions!$F$10*Assumptions!$F$11*Assumptions!$C$25)*Assumptions!$C$57-Assumptions!$C$58*12-Assumptions!$C$59*12</f>
        <v>-59343.488000000012</v>
      </c>
    </row>
    <row r="20" spans="1:7" ht="15" customHeight="1" x14ac:dyDescent="0.2">
      <c r="A20" s="70">
        <v>76</v>
      </c>
      <c r="B20" s="67"/>
      <c r="C20" s="68">
        <f>(Assumptions!$F$10*Assumptions!$F$11*Assumptions!$C$25)-(Assumptions!$F$10*Assumptions!$F$11*Assumptions!$C$25)*Assumptions!$C$38-(C$15*52*Assumptions!$C$42*(1+Assumptions!$C$44)+Assumptions!$C$45)-$A20*Assumptions!$C$16-Assumptions!$C$50*12-Assumptions!$C$51-(Assumptions!$F$10*Assumptions!$F$11*Assumptions!$C$25)*Assumptions!$C$53*Assumptions!$C$52-Assumptions!$C$54*12-Assumptions!$C$55*12-Assumptions!$C$56*12-(Assumptions!$F$10*Assumptions!$F$11*Assumptions!$C$25)*Assumptions!$C$57-Assumptions!$C$58*12-Assumptions!$C$59*12</f>
        <v>37760.511999999988</v>
      </c>
      <c r="D20" s="68">
        <f>(Assumptions!$F$10*Assumptions!$F$11*Assumptions!$C$25)-(Assumptions!$F$10*Assumptions!$F$11*Assumptions!$C$25)*Assumptions!$C$38-(D$15*52*Assumptions!$C$42*(1+Assumptions!$C$44)+Assumptions!$C$45)-$A20*Assumptions!$C$16-Assumptions!$C$50*12-Assumptions!$C$51-(Assumptions!$F$10*Assumptions!$F$11*Assumptions!$C$25)*Assumptions!$C$53*Assumptions!$C$52-Assumptions!$C$54*12-Assumptions!$C$55*12-Assumptions!$C$56*12-(Assumptions!$F$10*Assumptions!$F$11*Assumptions!$C$25)*Assumptions!$C$57-Assumptions!$C$58*12-Assumptions!$C$59*12</f>
        <v>11084.511999999988</v>
      </c>
      <c r="E20" s="68">
        <f>(Assumptions!$F$10*Assumptions!$F$11*Assumptions!$C$25)-(Assumptions!$F$10*Assumptions!$F$11*Assumptions!$C$25)*Assumptions!$C$38-(E$15*52*Assumptions!$C$42*(1+Assumptions!$C$44)+Assumptions!$C$45)-$A20*Assumptions!$C$16-Assumptions!$C$50*12-Assumptions!$C$51-(Assumptions!$F$10*Assumptions!$F$11*Assumptions!$C$25)*Assumptions!$C$53*Assumptions!$C$52-Assumptions!$C$54*12-Assumptions!$C$55*12-Assumptions!$C$56*12-(Assumptions!$F$10*Assumptions!$F$11*Assumptions!$C$25)*Assumptions!$C$57-Assumptions!$C$58*12-Assumptions!$C$59*12</f>
        <v>-15591.488000000041</v>
      </c>
      <c r="F20" s="68">
        <f>(Assumptions!$F$10*Assumptions!$F$11*Assumptions!$C$25)-(Assumptions!$F$10*Assumptions!$F$11*Assumptions!$C$25)*Assumptions!$C$38-(F$15*52*Assumptions!$C$42*(1+Assumptions!$C$44)+Assumptions!$C$45)-$A20*Assumptions!$C$16-Assumptions!$C$50*12-Assumptions!$C$51-(Assumptions!$F$10*Assumptions!$F$11*Assumptions!$C$25)*Assumptions!$C$53*Assumptions!$C$52-Assumptions!$C$54*12-Assumptions!$C$55*12-Assumptions!$C$56*12-(Assumptions!$F$10*Assumptions!$F$11*Assumptions!$C$25)*Assumptions!$C$57-Assumptions!$C$58*12-Assumptions!$C$59*12</f>
        <v>-42267.488000000012</v>
      </c>
      <c r="G20" s="68">
        <f>(Assumptions!$F$10*Assumptions!$F$11*Assumptions!$C$25)-(Assumptions!$F$10*Assumptions!$F$11*Assumptions!$C$25)*Assumptions!$C$38-(G$15*52*Assumptions!$C$42*(1+Assumptions!$C$44)+Assumptions!$C$45)-$A20*Assumptions!$C$16-Assumptions!$C$50*12-Assumptions!$C$51-(Assumptions!$F$10*Assumptions!$F$11*Assumptions!$C$25)*Assumptions!$C$53*Assumptions!$C$52-Assumptions!$C$54*12-Assumptions!$C$55*12-Assumptions!$C$56*12-(Assumptions!$F$10*Assumptions!$F$11*Assumptions!$C$25)*Assumptions!$C$57-Assumptions!$C$58*12-Assumptions!$C$59*12</f>
        <v>-68943.488000000012</v>
      </c>
    </row>
    <row r="24" spans="1:7" ht="15" customHeight="1" x14ac:dyDescent="0.2">
      <c r="A24" s="6" t="s">
        <v>270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19"/>
  <sheetViews>
    <sheetView showGridLines="0" zoomScaleNormal="100" workbookViewId="0"/>
  </sheetViews>
  <sheetFormatPr baseColWidth="10" defaultColWidth="8.6640625" defaultRowHeight="15" x14ac:dyDescent="0.2"/>
  <cols>
    <col min="1" max="1" width="4" customWidth="1"/>
    <col min="2" max="2" width="46" customWidth="1"/>
    <col min="3" max="3" width="70" customWidth="1"/>
  </cols>
  <sheetData>
    <row r="2" spans="1:3" ht="17.25" customHeight="1" x14ac:dyDescent="0.2">
      <c r="B2" s="12" t="s">
        <v>271</v>
      </c>
    </row>
    <row r="4" spans="1:3" ht="15" customHeight="1" x14ac:dyDescent="0.2">
      <c r="A4" s="13" t="s">
        <v>272</v>
      </c>
      <c r="B4" s="71" t="s">
        <v>273</v>
      </c>
      <c r="C4" s="71" t="s">
        <v>274</v>
      </c>
    </row>
    <row r="5" spans="1:3" ht="27.75" customHeight="1" x14ac:dyDescent="0.2">
      <c r="B5" s="72" t="s">
        <v>275</v>
      </c>
      <c r="C5" s="72" t="s">
        <v>276</v>
      </c>
    </row>
    <row r="6" spans="1:3" ht="27.75" customHeight="1" x14ac:dyDescent="0.2">
      <c r="B6" s="72" t="s">
        <v>277</v>
      </c>
      <c r="C6" s="72" t="s">
        <v>278</v>
      </c>
    </row>
    <row r="7" spans="1:3" ht="27.75" customHeight="1" x14ac:dyDescent="0.2">
      <c r="B7" s="72" t="s">
        <v>279</v>
      </c>
      <c r="C7" s="72" t="s">
        <v>280</v>
      </c>
    </row>
    <row r="8" spans="1:3" ht="27.75" customHeight="1" x14ac:dyDescent="0.2">
      <c r="B8" s="72" t="s">
        <v>281</v>
      </c>
      <c r="C8" s="72" t="s">
        <v>282</v>
      </c>
    </row>
    <row r="9" spans="1:3" ht="27.75" customHeight="1" x14ac:dyDescent="0.2">
      <c r="B9" s="72" t="s">
        <v>283</v>
      </c>
      <c r="C9" s="72" t="s">
        <v>284</v>
      </c>
    </row>
    <row r="10" spans="1:3" ht="27.75" customHeight="1" x14ac:dyDescent="0.2">
      <c r="B10" s="72" t="s">
        <v>285</v>
      </c>
      <c r="C10" s="72" t="s">
        <v>286</v>
      </c>
    </row>
    <row r="11" spans="1:3" ht="27.75" customHeight="1" x14ac:dyDescent="0.2">
      <c r="B11" s="72" t="s">
        <v>287</v>
      </c>
      <c r="C11" s="72" t="s">
        <v>288</v>
      </c>
    </row>
    <row r="12" spans="1:3" ht="27.75" customHeight="1" x14ac:dyDescent="0.2">
      <c r="B12" s="72" t="s">
        <v>289</v>
      </c>
      <c r="C12" s="72" t="s">
        <v>290</v>
      </c>
    </row>
    <row r="13" spans="1:3" ht="27.75" customHeight="1" x14ac:dyDescent="0.2">
      <c r="B13" s="72" t="s">
        <v>291</v>
      </c>
      <c r="C13" s="72" t="s">
        <v>292</v>
      </c>
    </row>
    <row r="14" spans="1:3" ht="27.75" customHeight="1" x14ac:dyDescent="0.2">
      <c r="B14" s="72" t="s">
        <v>293</v>
      </c>
      <c r="C14" s="72" t="s">
        <v>294</v>
      </c>
    </row>
    <row r="15" spans="1:3" ht="27.75" customHeight="1" x14ac:dyDescent="0.2">
      <c r="B15" s="72" t="s">
        <v>295</v>
      </c>
      <c r="C15" s="72" t="s">
        <v>296</v>
      </c>
    </row>
    <row r="16" spans="1:3" ht="27.75" customHeight="1" x14ac:dyDescent="0.2">
      <c r="B16" s="72" t="s">
        <v>297</v>
      </c>
      <c r="C16" s="72" t="s">
        <v>282</v>
      </c>
    </row>
    <row r="18" spans="2:3" ht="15" customHeight="1" x14ac:dyDescent="0.2">
      <c r="B18" s="1" t="s">
        <v>298</v>
      </c>
      <c r="C18" s="1"/>
    </row>
    <row r="19" spans="2:3" ht="15" customHeight="1" x14ac:dyDescent="0.2">
      <c r="B19" s="1"/>
      <c r="C19" s="1"/>
    </row>
  </sheetData>
  <mergeCells count="1">
    <mergeCell ref="B18:C19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Cover</vt:lpstr>
      <vt:lpstr>Assumptions</vt:lpstr>
      <vt:lpstr>Revenue Build</vt:lpstr>
      <vt:lpstr>P&amp;L Monthly</vt:lpstr>
      <vt:lpstr>Startup &amp; Funding</vt:lpstr>
      <vt:lpstr>Annual Summary</vt:lpstr>
      <vt:lpstr>Sensitivity</vt:lpstr>
      <vt:lpstr>Sources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Sachi Goel</cp:lastModifiedBy>
  <cp:revision>0</cp:revision>
  <dcterms:created xsi:type="dcterms:W3CDTF">2026-06-24T20:28:53Z</dcterms:created>
  <dcterms:modified xsi:type="dcterms:W3CDTF">2026-06-24T21:07:27Z</dcterms:modified>
  <dc:language>en-US</dc:language>
</cp:coreProperties>
</file>